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edro\Auditorias\2018_Obras Paralisadas\"/>
    </mc:Choice>
  </mc:AlternateContent>
  <bookViews>
    <workbookView xWindow="0" yWindow="0" windowWidth="13500" windowHeight="11730"/>
  </bookViews>
  <sheets>
    <sheet name="Diagnóstico 2018" sheetId="1" r:id="rId1"/>
    <sheet name="Por órgão Após Respostas" sheetId="17" r:id="rId2"/>
    <sheet name="Não Responderam Ofício do TCE" sheetId="31" r:id="rId3"/>
  </sheets>
  <definedNames>
    <definedName name="_xlnm._FilterDatabase" localSheetId="0" hidden="1">'Diagnóstico 2018'!$A$6:$AJ$1555</definedName>
    <definedName name="_xlnm._FilterDatabase" localSheetId="2" hidden="1">'Não Responderam Ofício do TCE'!$B$83:$C$102</definedName>
    <definedName name="_xlnm._FilterDatabase" localSheetId="1" hidden="1">'Por órgão Após Respostas'!$A$5:$K$210</definedName>
    <definedName name="_xlnm.Print_Titles" localSheetId="0">'Diagnóstico 2018'!$1:$6</definedName>
    <definedName name="_xlnm.Print_Titles" localSheetId="1">'Por órgão Após Respostas'!$4:$5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0" i="1" l="1"/>
  <c r="M108" i="1" l="1"/>
  <c r="B210" i="17" l="1"/>
  <c r="P1554" i="1" l="1"/>
  <c r="R1554" i="1"/>
  <c r="R1342" i="1" l="1"/>
  <c r="M1342" i="1"/>
  <c r="R1459" i="1" l="1"/>
  <c r="M43" i="1" l="1"/>
  <c r="M58" i="1"/>
  <c r="Q565" i="1" l="1"/>
  <c r="Q562" i="1"/>
  <c r="Q553" i="1"/>
  <c r="Q554" i="1"/>
  <c r="M565" i="1"/>
  <c r="M570" i="1"/>
  <c r="M559" i="1"/>
  <c r="M568" i="1"/>
  <c r="M558" i="1"/>
  <c r="M576" i="1"/>
  <c r="M569" i="1"/>
  <c r="M556" i="1"/>
  <c r="M572" i="1"/>
  <c r="M557" i="1"/>
  <c r="M561" i="1"/>
  <c r="M562" i="1"/>
  <c r="M553" i="1"/>
  <c r="M554" i="1"/>
  <c r="M564" i="1"/>
  <c r="M573" i="1"/>
  <c r="Q17" i="1" l="1"/>
  <c r="Q31" i="1"/>
  <c r="Q26" i="1"/>
  <c r="Q37" i="1"/>
  <c r="Q315" i="1"/>
  <c r="Q325" i="1"/>
  <c r="Q335" i="1"/>
  <c r="Q346" i="1"/>
  <c r="Q340" i="1"/>
  <c r="Q750" i="1"/>
  <c r="Q752" i="1"/>
  <c r="Q742" i="1"/>
  <c r="Q761" i="1"/>
  <c r="Q1248" i="1"/>
  <c r="Q1215" i="1"/>
  <c r="Q1209" i="1"/>
  <c r="Q1211" i="1"/>
  <c r="Q1226" i="1"/>
  <c r="Q879" i="1"/>
  <c r="Q880" i="1"/>
  <c r="Q878" i="1"/>
  <c r="Q169" i="1"/>
  <c r="Q1110" i="1" l="1"/>
  <c r="G791" i="1"/>
  <c r="X7" i="1"/>
  <c r="Q1325" i="1"/>
  <c r="P1302" i="1"/>
  <c r="P135" i="1"/>
  <c r="P138" i="1"/>
  <c r="P124" i="1"/>
  <c r="Q43" i="1"/>
  <c r="P43" i="1"/>
  <c r="Q40" i="1"/>
  <c r="P40" i="1"/>
  <c r="Q35" i="1"/>
  <c r="P35" i="1"/>
  <c r="P34" i="1"/>
  <c r="P17" i="1"/>
  <c r="Q24" i="1"/>
  <c r="Q57" i="1"/>
  <c r="P57" i="1"/>
  <c r="Q48" i="1"/>
  <c r="P48" i="1"/>
  <c r="Q33" i="1"/>
  <c r="P33" i="1"/>
  <c r="P31" i="1"/>
  <c r="P26" i="1"/>
  <c r="Q25" i="1"/>
  <c r="P25" i="1"/>
  <c r="P37" i="1"/>
  <c r="Q18" i="1"/>
  <c r="P18" i="1"/>
  <c r="Q7" i="1"/>
  <c r="P225" i="1"/>
  <c r="R174" i="1"/>
  <c r="R183" i="1"/>
  <c r="R184" i="1"/>
  <c r="R182" i="1"/>
  <c r="R186" i="1"/>
  <c r="R188" i="1"/>
  <c r="R187" i="1"/>
  <c r="R189" i="1"/>
  <c r="R190" i="1"/>
  <c r="R201" i="1"/>
  <c r="R202" i="1"/>
  <c r="R199" i="1"/>
  <c r="R196" i="1"/>
  <c r="R219" i="1"/>
  <c r="R208" i="1"/>
  <c r="R209" i="1"/>
  <c r="R203" i="1"/>
  <c r="R213" i="1"/>
  <c r="R210" i="1"/>
  <c r="R211" i="1"/>
  <c r="R207" i="1"/>
  <c r="R212" i="1"/>
  <c r="R215" i="1"/>
  <c r="R214" i="1"/>
  <c r="R216" i="1"/>
  <c r="R225" i="1"/>
  <c r="R224" i="1"/>
  <c r="R223" i="1"/>
  <c r="R222" i="1"/>
  <c r="R220" i="1"/>
  <c r="R221" i="1"/>
  <c r="R226" i="1"/>
  <c r="R233" i="1"/>
  <c r="R228" i="1"/>
  <c r="R227" i="1"/>
  <c r="R229" i="1"/>
  <c r="R235" i="1"/>
  <c r="R232" i="1"/>
  <c r="R230" i="1"/>
  <c r="R231" i="1"/>
  <c r="R234" i="1"/>
  <c r="R237" i="1"/>
  <c r="R236" i="1"/>
  <c r="R242" i="1"/>
  <c r="R238" i="1"/>
  <c r="R241" i="1"/>
  <c r="R239" i="1"/>
  <c r="R240" i="1"/>
  <c r="R247" i="1"/>
  <c r="R245" i="1"/>
  <c r="R294" i="1"/>
  <c r="R295" i="1"/>
  <c r="R297" i="1"/>
  <c r="R298" i="1"/>
  <c r="R299" i="1"/>
  <c r="R296" i="1"/>
  <c r="R8" i="1"/>
  <c r="R13" i="1"/>
  <c r="R15" i="1"/>
  <c r="R14" i="1"/>
  <c r="R16" i="1"/>
  <c r="R37" i="1"/>
  <c r="R26" i="1"/>
  <c r="R31" i="1"/>
  <c r="R17" i="1"/>
  <c r="R34" i="1"/>
  <c r="R45" i="1"/>
  <c r="R59" i="1"/>
  <c r="R58" i="1"/>
  <c r="R54" i="1"/>
  <c r="R47" i="1"/>
  <c r="R28" i="1"/>
  <c r="R55" i="1"/>
  <c r="R39" i="1"/>
  <c r="R46" i="1"/>
  <c r="R41" i="1"/>
  <c r="R74" i="1"/>
  <c r="R85" i="1"/>
  <c r="R87" i="1"/>
  <c r="R94" i="1"/>
  <c r="R84" i="1"/>
  <c r="R62" i="1"/>
  <c r="R80" i="1"/>
  <c r="R73" i="1"/>
  <c r="R83" i="1"/>
  <c r="R86" i="1"/>
  <c r="R68" i="1"/>
  <c r="R64" i="1"/>
  <c r="R104" i="1"/>
  <c r="R95" i="1"/>
  <c r="R72" i="1"/>
  <c r="R97" i="1"/>
  <c r="R82" i="1"/>
  <c r="R93" i="1"/>
  <c r="R100" i="1"/>
  <c r="R98" i="1"/>
  <c r="R81" i="1"/>
  <c r="R96" i="1"/>
  <c r="R79" i="1"/>
  <c r="R102" i="1"/>
  <c r="R75" i="1"/>
  <c r="R88" i="1"/>
  <c r="R112" i="1"/>
  <c r="R111" i="1"/>
  <c r="R110" i="1"/>
  <c r="R113" i="1"/>
  <c r="R115" i="1"/>
  <c r="R125" i="1"/>
  <c r="R119" i="1"/>
  <c r="R140" i="1"/>
  <c r="R114" i="1"/>
  <c r="R124" i="1"/>
  <c r="R129" i="1"/>
  <c r="R123" i="1"/>
  <c r="R138" i="1"/>
  <c r="R121" i="1"/>
  <c r="R130" i="1"/>
  <c r="R139" i="1"/>
  <c r="R118" i="1"/>
  <c r="R135" i="1"/>
  <c r="R1270" i="1"/>
  <c r="R1273" i="1"/>
  <c r="R1302" i="1"/>
  <c r="R1304" i="1"/>
  <c r="R1305" i="1"/>
  <c r="R1303" i="1"/>
  <c r="R1294" i="1"/>
  <c r="R1326" i="1"/>
  <c r="R1327" i="1"/>
  <c r="R1324" i="1"/>
  <c r="R1329" i="1"/>
  <c r="R1328" i="1"/>
  <c r="R1338" i="1"/>
  <c r="R1348" i="1"/>
  <c r="R1347" i="1"/>
  <c r="R1349" i="1"/>
  <c r="R1355" i="1"/>
  <c r="R1357" i="1"/>
  <c r="R1360" i="1"/>
  <c r="R1359" i="1"/>
  <c r="R1409" i="1"/>
  <c r="R1413" i="1"/>
  <c r="R1407" i="1"/>
  <c r="R1401" i="1"/>
  <c r="R1412" i="1"/>
  <c r="R1397" i="1"/>
  <c r="R1402" i="1"/>
  <c r="R1408" i="1"/>
  <c r="R1404" i="1"/>
  <c r="R1398" i="1"/>
  <c r="R1406" i="1"/>
  <c r="R1411" i="1"/>
  <c r="R1410" i="1"/>
  <c r="R1399" i="1"/>
  <c r="R1403" i="1"/>
  <c r="R1400" i="1"/>
  <c r="R1405" i="1"/>
  <c r="R1383" i="1"/>
  <c r="R1414" i="1"/>
  <c r="R1416" i="1"/>
  <c r="R1428" i="1"/>
  <c r="R1430" i="1"/>
  <c r="R1427" i="1"/>
  <c r="R1436" i="1"/>
  <c r="R1431" i="1"/>
  <c r="R1437" i="1"/>
  <c r="R1433" i="1"/>
  <c r="R1434" i="1"/>
  <c r="R1435" i="1"/>
  <c r="R1429" i="1"/>
  <c r="R1432" i="1"/>
  <c r="R301" i="1"/>
  <c r="R268" i="1"/>
  <c r="R271" i="1"/>
  <c r="R269" i="1"/>
  <c r="R272" i="1"/>
  <c r="R270" i="1"/>
  <c r="R266" i="1"/>
  <c r="R273" i="1"/>
  <c r="R267" i="1"/>
  <c r="R280" i="1"/>
  <c r="R277" i="1"/>
  <c r="R278" i="1"/>
  <c r="R276" i="1"/>
  <c r="R274" i="1"/>
  <c r="R279" i="1"/>
  <c r="R275" i="1"/>
  <c r="M275" i="1"/>
  <c r="M279" i="1"/>
  <c r="M274" i="1"/>
  <c r="M278" i="1"/>
  <c r="M277" i="1"/>
  <c r="M267" i="1"/>
  <c r="M273" i="1"/>
  <c r="M266" i="1"/>
  <c r="M270" i="1"/>
  <c r="M272" i="1"/>
  <c r="M269" i="1"/>
  <c r="M271" i="1"/>
  <c r="M268" i="1"/>
  <c r="M301" i="1"/>
  <c r="M1432" i="1"/>
  <c r="P1432" i="1" s="1"/>
  <c r="M1429" i="1"/>
  <c r="M1435" i="1"/>
  <c r="P1435" i="1" s="1"/>
  <c r="M1434" i="1"/>
  <c r="P1434" i="1" s="1"/>
  <c r="M1433" i="1"/>
  <c r="P1433" i="1" s="1"/>
  <c r="M1437" i="1"/>
  <c r="M1431" i="1"/>
  <c r="M1427" i="1"/>
  <c r="M1430" i="1"/>
  <c r="M1428" i="1"/>
  <c r="P1428" i="1" s="1"/>
  <c r="M1416" i="1"/>
  <c r="P1416" i="1" s="1"/>
  <c r="M1414" i="1"/>
  <c r="P1414" i="1" s="1"/>
  <c r="M1357" i="1"/>
  <c r="P1357" i="1" s="1"/>
  <c r="M1349" i="1"/>
  <c r="M1347" i="1"/>
  <c r="P1347" i="1" s="1"/>
  <c r="M1348" i="1"/>
  <c r="P1348" i="1" s="1"/>
  <c r="M1328" i="1"/>
  <c r="M1329" i="1"/>
  <c r="M1324" i="1"/>
  <c r="M1327" i="1"/>
  <c r="M1326" i="1"/>
  <c r="M1325" i="1"/>
  <c r="M1294" i="1"/>
  <c r="M1303" i="1"/>
  <c r="P1303" i="1" s="1"/>
  <c r="M1305" i="1"/>
  <c r="P1305" i="1" s="1"/>
  <c r="M1304" i="1"/>
  <c r="P1304" i="1" s="1"/>
  <c r="M1302" i="1"/>
  <c r="M1273" i="1"/>
  <c r="P1273" i="1" s="1"/>
  <c r="M1270" i="1"/>
  <c r="P1270" i="1" s="1"/>
  <c r="M135" i="1"/>
  <c r="M118" i="1"/>
  <c r="P118" i="1" s="1"/>
  <c r="M139" i="1"/>
  <c r="M130" i="1"/>
  <c r="P130" i="1" s="1"/>
  <c r="M121" i="1"/>
  <c r="P121" i="1" s="1"/>
  <c r="M138" i="1"/>
  <c r="M123" i="1"/>
  <c r="P123" i="1" s="1"/>
  <c r="M129" i="1"/>
  <c r="P129" i="1" s="1"/>
  <c r="M124" i="1"/>
  <c r="M114" i="1"/>
  <c r="P114" i="1" s="1"/>
  <c r="M140" i="1"/>
  <c r="P140" i="1" s="1"/>
  <c r="M119" i="1"/>
  <c r="M125" i="1"/>
  <c r="P125" i="1" s="1"/>
  <c r="M115" i="1"/>
  <c r="M113" i="1"/>
  <c r="M110" i="1"/>
  <c r="M111" i="1"/>
  <c r="M112" i="1"/>
  <c r="P112" i="1" s="1"/>
  <c r="M88" i="1"/>
  <c r="P88" i="1" s="1"/>
  <c r="M75" i="1"/>
  <c r="P75" i="1" s="1"/>
  <c r="M102" i="1"/>
  <c r="P102" i="1" s="1"/>
  <c r="M79" i="1"/>
  <c r="P79" i="1" s="1"/>
  <c r="M96" i="1"/>
  <c r="P96" i="1" s="1"/>
  <c r="M81" i="1"/>
  <c r="P81" i="1" s="1"/>
  <c r="M98" i="1"/>
  <c r="M100" i="1"/>
  <c r="P100" i="1" s="1"/>
  <c r="M93" i="1"/>
  <c r="M82" i="1"/>
  <c r="P82" i="1" s="1"/>
  <c r="M97" i="1"/>
  <c r="P97" i="1" s="1"/>
  <c r="M72" i="1"/>
  <c r="M95" i="1"/>
  <c r="M104" i="1"/>
  <c r="M64" i="1"/>
  <c r="P64" i="1" s="1"/>
  <c r="M68" i="1"/>
  <c r="P68" i="1" s="1"/>
  <c r="M86" i="1"/>
  <c r="P86" i="1" s="1"/>
  <c r="M83" i="1"/>
  <c r="M73" i="1"/>
  <c r="P73" i="1" s="1"/>
  <c r="M80" i="1"/>
  <c r="P80" i="1" s="1"/>
  <c r="M62" i="1"/>
  <c r="P62" i="1" s="1"/>
  <c r="M84" i="1"/>
  <c r="P84" i="1" s="1"/>
  <c r="M94" i="1"/>
  <c r="M87" i="1"/>
  <c r="P87" i="1" s="1"/>
  <c r="M85" i="1"/>
  <c r="P85" i="1" s="1"/>
  <c r="M74" i="1"/>
  <c r="P74" i="1" s="1"/>
  <c r="M41" i="1"/>
  <c r="M46" i="1"/>
  <c r="P46" i="1" s="1"/>
  <c r="M39" i="1"/>
  <c r="M55" i="1"/>
  <c r="P55" i="1" s="1"/>
  <c r="M28" i="1"/>
  <c r="M47" i="1"/>
  <c r="M45" i="1"/>
  <c r="P45" i="1" s="1"/>
  <c r="M14" i="1"/>
  <c r="P14" i="1" s="1"/>
  <c r="M15" i="1"/>
  <c r="P15" i="1" s="1"/>
  <c r="M13" i="1"/>
  <c r="P13" i="1" s="1"/>
  <c r="M8" i="1"/>
  <c r="P8" i="1" s="1"/>
  <c r="M7" i="1"/>
  <c r="P7" i="1" s="1"/>
  <c r="M296" i="1"/>
  <c r="M299" i="1"/>
  <c r="M298" i="1"/>
  <c r="P298" i="1" s="1"/>
  <c r="M297" i="1"/>
  <c r="P297" i="1" s="1"/>
  <c r="M295" i="1"/>
  <c r="M294" i="1"/>
  <c r="M245" i="1"/>
  <c r="P245" i="1" s="1"/>
  <c r="M247" i="1"/>
  <c r="P247" i="1" s="1"/>
  <c r="M240" i="1"/>
  <c r="P240" i="1" s="1"/>
  <c r="M239" i="1"/>
  <c r="M241" i="1"/>
  <c r="P241" i="1" s="1"/>
  <c r="M238" i="1"/>
  <c r="P238" i="1" s="1"/>
  <c r="M242" i="1"/>
  <c r="P242" i="1" s="1"/>
  <c r="M236" i="1"/>
  <c r="P236" i="1" s="1"/>
  <c r="M234" i="1"/>
  <c r="P234" i="1" s="1"/>
  <c r="M231" i="1"/>
  <c r="P231" i="1" s="1"/>
  <c r="M230" i="1"/>
  <c r="P230" i="1" s="1"/>
  <c r="M232" i="1"/>
  <c r="P232" i="1" s="1"/>
  <c r="M235" i="1"/>
  <c r="P235" i="1" s="1"/>
  <c r="M229" i="1"/>
  <c r="P229" i="1" s="1"/>
  <c r="M227" i="1"/>
  <c r="P227" i="1" s="1"/>
  <c r="M228" i="1"/>
  <c r="P228" i="1" s="1"/>
  <c r="M233" i="1"/>
  <c r="P233" i="1" s="1"/>
  <c r="M226" i="1"/>
  <c r="P226" i="1" s="1"/>
  <c r="M221" i="1"/>
  <c r="P221" i="1" s="1"/>
  <c r="M220" i="1"/>
  <c r="P220" i="1" s="1"/>
  <c r="M222" i="1"/>
  <c r="M223" i="1"/>
  <c r="M224" i="1"/>
  <c r="M225" i="1"/>
  <c r="M216" i="1"/>
  <c r="P216" i="1" s="1"/>
  <c r="M214" i="1"/>
  <c r="P214" i="1" s="1"/>
  <c r="M215" i="1"/>
  <c r="P215" i="1" s="1"/>
  <c r="M212" i="1"/>
  <c r="P212" i="1" s="1"/>
  <c r="M207" i="1"/>
  <c r="P207" i="1" s="1"/>
  <c r="M211" i="1"/>
  <c r="P211" i="1" s="1"/>
  <c r="M210" i="1"/>
  <c r="P210" i="1" s="1"/>
  <c r="M213" i="1"/>
  <c r="P213" i="1" s="1"/>
  <c r="M203" i="1"/>
  <c r="P203" i="1" s="1"/>
  <c r="M209" i="1"/>
  <c r="M208" i="1"/>
  <c r="P208" i="1" s="1"/>
  <c r="M219" i="1"/>
  <c r="M202" i="1"/>
  <c r="P202" i="1" s="1"/>
  <c r="M201" i="1"/>
  <c r="P201" i="1" s="1"/>
  <c r="M187" i="1"/>
  <c r="M188" i="1"/>
  <c r="M186" i="1"/>
  <c r="M182" i="1"/>
  <c r="M184" i="1"/>
  <c r="M183" i="1"/>
  <c r="M174" i="1"/>
  <c r="R7" i="1" l="1"/>
  <c r="R18" i="1"/>
  <c r="R57" i="1"/>
  <c r="R24" i="1"/>
  <c r="R40" i="1"/>
  <c r="R48" i="1"/>
  <c r="R43" i="1"/>
  <c r="R25" i="1"/>
  <c r="R33" i="1"/>
  <c r="R35" i="1"/>
  <c r="R1325" i="1"/>
  <c r="M394" i="1"/>
  <c r="P394" i="1" s="1"/>
  <c r="M393" i="1"/>
  <c r="P393" i="1" s="1"/>
  <c r="M396" i="1"/>
  <c r="P396" i="1" s="1"/>
  <c r="M397" i="1"/>
  <c r="P397" i="1" s="1"/>
  <c r="M395" i="1"/>
  <c r="M392" i="1"/>
  <c r="M391" i="1"/>
  <c r="M390" i="1"/>
  <c r="M307" i="1"/>
  <c r="P307" i="1" s="1"/>
  <c r="M305" i="1"/>
  <c r="P305" i="1" s="1"/>
  <c r="M306" i="1"/>
  <c r="P306" i="1" s="1"/>
  <c r="M309" i="1"/>
  <c r="P309" i="1" s="1"/>
  <c r="M308" i="1"/>
  <c r="P308" i="1" s="1"/>
  <c r="M364" i="1"/>
  <c r="M365" i="1"/>
  <c r="M348" i="1"/>
  <c r="M358" i="1"/>
  <c r="P358" i="1" s="1"/>
  <c r="M373" i="1"/>
  <c r="P373" i="1" s="1"/>
  <c r="M371" i="1"/>
  <c r="M372" i="1"/>
  <c r="P372" i="1" s="1"/>
  <c r="M370" i="1"/>
  <c r="M316" i="1"/>
  <c r="P316" i="1" s="1"/>
  <c r="M314" i="1"/>
  <c r="P314" i="1" s="1"/>
  <c r="M312" i="1"/>
  <c r="P312" i="1" s="1"/>
  <c r="M313" i="1"/>
  <c r="P313" i="1" s="1"/>
  <c r="M334" i="1"/>
  <c r="P334" i="1" s="1"/>
  <c r="M330" i="1"/>
  <c r="P330" i="1" s="1"/>
  <c r="M353" i="1"/>
  <c r="P353" i="1" s="1"/>
  <c r="M315" i="1"/>
  <c r="P315" i="1" s="1"/>
  <c r="M317" i="1"/>
  <c r="P317" i="1" s="1"/>
  <c r="M325" i="1"/>
  <c r="P325" i="1" s="1"/>
  <c r="M323" i="1"/>
  <c r="P323" i="1" s="1"/>
  <c r="M362" i="1"/>
  <c r="P362" i="1" s="1"/>
  <c r="M321" i="1"/>
  <c r="P321" i="1" s="1"/>
  <c r="M363" i="1"/>
  <c r="M350" i="1"/>
  <c r="M327" i="1"/>
  <c r="P327" i="1" s="1"/>
  <c r="M326" i="1"/>
  <c r="P326" i="1" s="1"/>
  <c r="M332" i="1"/>
  <c r="M328" i="1"/>
  <c r="P328" i="1" s="1"/>
  <c r="M329" i="1"/>
  <c r="P329" i="1" s="1"/>
  <c r="M336" i="1"/>
  <c r="P336" i="1" s="1"/>
  <c r="M335" i="1"/>
  <c r="P335" i="1" s="1"/>
  <c r="M331" i="1"/>
  <c r="P331" i="1" s="1"/>
  <c r="M346" i="1"/>
  <c r="P346" i="1" s="1"/>
  <c r="M345" i="1"/>
  <c r="P345" i="1" s="1"/>
  <c r="M340" i="1"/>
  <c r="P340" i="1" s="1"/>
  <c r="M333" i="1"/>
  <c r="P333" i="1" s="1"/>
  <c r="M349" i="1"/>
  <c r="M354" i="1"/>
  <c r="P354" i="1" s="1"/>
  <c r="M359" i="1"/>
  <c r="M357" i="1"/>
  <c r="P357" i="1" s="1"/>
  <c r="M356" i="1"/>
  <c r="P356" i="1" s="1"/>
  <c r="M338" i="1"/>
  <c r="P338" i="1" s="1"/>
  <c r="M361" i="1"/>
  <c r="P361" i="1" s="1"/>
  <c r="M341" i="1"/>
  <c r="P341" i="1" s="1"/>
  <c r="M318" i="1"/>
  <c r="P318" i="1" s="1"/>
  <c r="M343" i="1"/>
  <c r="P343" i="1" s="1"/>
  <c r="M355" i="1"/>
  <c r="P355" i="1" s="1"/>
  <c r="M319" i="1"/>
  <c r="P319" i="1" s="1"/>
  <c r="M324" i="1"/>
  <c r="P324" i="1" s="1"/>
  <c r="M337" i="1"/>
  <c r="P337" i="1" s="1"/>
  <c r="M347" i="1"/>
  <c r="P347" i="1" s="1"/>
  <c r="M320" i="1"/>
  <c r="P320" i="1" s="1"/>
  <c r="M322" i="1"/>
  <c r="P322" i="1" s="1"/>
  <c r="M344" i="1"/>
  <c r="P344" i="1" s="1"/>
  <c r="M339" i="1"/>
  <c r="P339" i="1" s="1"/>
  <c r="M342" i="1"/>
  <c r="P342" i="1" s="1"/>
  <c r="M375" i="1"/>
  <c r="M369" i="1"/>
  <c r="M366" i="1"/>
  <c r="P366" i="1" s="1"/>
  <c r="M374" i="1"/>
  <c r="P374" i="1" s="1"/>
  <c r="M367" i="1"/>
  <c r="P367" i="1" s="1"/>
  <c r="M411" i="1"/>
  <c r="P411" i="1" s="1"/>
  <c r="M410" i="1"/>
  <c r="P410" i="1" s="1"/>
  <c r="M409" i="1"/>
  <c r="P409" i="1" s="1"/>
  <c r="M408" i="1"/>
  <c r="P408" i="1" s="1"/>
  <c r="M398" i="1"/>
  <c r="M1550" i="1"/>
  <c r="M1548" i="1"/>
  <c r="M1547" i="1"/>
  <c r="M1553" i="1"/>
  <c r="M1552" i="1"/>
  <c r="M1544" i="1"/>
  <c r="M1551" i="1"/>
  <c r="M1549" i="1"/>
  <c r="M1545" i="1"/>
  <c r="M1538" i="1"/>
  <c r="M1531" i="1"/>
  <c r="P1531" i="1" s="1"/>
  <c r="M1533" i="1"/>
  <c r="P1533" i="1" s="1"/>
  <c r="M1536" i="1"/>
  <c r="P1536" i="1" s="1"/>
  <c r="M1530" i="1"/>
  <c r="P1530" i="1" s="1"/>
  <c r="M1529" i="1"/>
  <c r="M1517" i="1"/>
  <c r="P1517" i="1" s="1"/>
  <c r="M1519" i="1"/>
  <c r="M1518" i="1"/>
  <c r="M1520" i="1"/>
  <c r="M1455" i="1"/>
  <c r="M1503" i="1"/>
  <c r="M1504" i="1"/>
  <c r="M1507" i="1"/>
  <c r="P1507" i="1" s="1"/>
  <c r="M1502" i="1"/>
  <c r="P1502" i="1" s="1"/>
  <c r="M1508" i="1"/>
  <c r="P1508" i="1" s="1"/>
  <c r="M1501" i="1"/>
  <c r="P1501" i="1" s="1"/>
  <c r="M1506" i="1"/>
  <c r="P1506" i="1" s="1"/>
  <c r="M1505" i="1"/>
  <c r="P1505" i="1" s="1"/>
  <c r="M1464" i="1"/>
  <c r="P1464" i="1" s="1"/>
  <c r="M1462" i="1"/>
  <c r="P1462" i="1" s="1"/>
  <c r="M1461" i="1"/>
  <c r="P1461" i="1" s="1"/>
  <c r="M1463" i="1"/>
  <c r="P1463" i="1" s="1"/>
  <c r="M1465" i="1"/>
  <c r="M1446" i="1"/>
  <c r="P1446" i="1" s="1"/>
  <c r="M1445" i="1"/>
  <c r="P1445" i="1" s="1"/>
  <c r="M1441" i="1"/>
  <c r="M849" i="1"/>
  <c r="M843" i="1"/>
  <c r="M841" i="1"/>
  <c r="M839" i="1"/>
  <c r="P839" i="1" s="1"/>
  <c r="M840" i="1"/>
  <c r="P840" i="1" s="1"/>
  <c r="M842" i="1"/>
  <c r="P842" i="1" s="1"/>
  <c r="M837" i="1"/>
  <c r="P837" i="1" s="1"/>
  <c r="M831" i="1"/>
  <c r="M833" i="1"/>
  <c r="M834" i="1"/>
  <c r="M835" i="1"/>
  <c r="M832" i="1"/>
  <c r="M830" i="1"/>
  <c r="P830" i="1" s="1"/>
  <c r="M829" i="1"/>
  <c r="P829" i="1" s="1"/>
  <c r="M827" i="1"/>
  <c r="P827" i="1" s="1"/>
  <c r="M826" i="1"/>
  <c r="P826" i="1" s="1"/>
  <c r="M820" i="1"/>
  <c r="M813" i="1"/>
  <c r="M816" i="1"/>
  <c r="M817" i="1"/>
  <c r="M814" i="1"/>
  <c r="M815" i="1"/>
  <c r="M807" i="1"/>
  <c r="M808" i="1"/>
  <c r="P808" i="1" s="1"/>
  <c r="M809" i="1"/>
  <c r="P809" i="1" s="1"/>
  <c r="M810" i="1"/>
  <c r="P810" i="1" s="1"/>
  <c r="M806" i="1"/>
  <c r="M800" i="1"/>
  <c r="P800" i="1" s="1"/>
  <c r="M799" i="1"/>
  <c r="M798" i="1"/>
  <c r="M797" i="1"/>
  <c r="M788" i="1"/>
  <c r="M786" i="1"/>
  <c r="M784" i="1"/>
  <c r="M787" i="1"/>
  <c r="P787" i="1" s="1"/>
  <c r="M785" i="1"/>
  <c r="M779" i="1"/>
  <c r="M780" i="1"/>
  <c r="M781" i="1"/>
  <c r="M777" i="1"/>
  <c r="P777" i="1" s="1"/>
  <c r="M778" i="1"/>
  <c r="P778" i="1" s="1"/>
  <c r="M776" i="1"/>
  <c r="M775" i="1"/>
  <c r="M772" i="1"/>
  <c r="P772" i="1" s="1"/>
  <c r="M770" i="1"/>
  <c r="P770" i="1" s="1"/>
  <c r="M769" i="1"/>
  <c r="P769" i="1" s="1"/>
  <c r="M750" i="1"/>
  <c r="P750" i="1" s="1"/>
  <c r="M752" i="1"/>
  <c r="M745" i="1"/>
  <c r="M742" i="1"/>
  <c r="M753" i="1"/>
  <c r="P753" i="1" s="1"/>
  <c r="M754" i="1"/>
  <c r="P754" i="1" s="1"/>
  <c r="M761" i="1"/>
  <c r="Q748" i="1"/>
  <c r="M748" i="1"/>
  <c r="P748" i="1" s="1"/>
  <c r="Q747" i="1"/>
  <c r="M747" i="1"/>
  <c r="P747" i="1" s="1"/>
  <c r="Q746" i="1"/>
  <c r="M746" i="1"/>
  <c r="P746" i="1" s="1"/>
  <c r="M737" i="1"/>
  <c r="M736" i="1"/>
  <c r="M735" i="1"/>
  <c r="M734" i="1"/>
  <c r="M733" i="1"/>
  <c r="M732" i="1"/>
  <c r="M731" i="1"/>
  <c r="M730" i="1"/>
  <c r="M740" i="1"/>
  <c r="P740" i="1" s="1"/>
  <c r="M729" i="1"/>
  <c r="M727" i="1"/>
  <c r="P727" i="1" s="1"/>
  <c r="M705" i="1"/>
  <c r="P705" i="1" s="1"/>
  <c r="M717" i="1"/>
  <c r="P717" i="1" s="1"/>
  <c r="M708" i="1"/>
  <c r="P708" i="1" s="1"/>
  <c r="M707" i="1"/>
  <c r="M711" i="1"/>
  <c r="M713" i="1"/>
  <c r="M714" i="1"/>
  <c r="M715" i="1"/>
  <c r="M716" i="1"/>
  <c r="M709" i="1"/>
  <c r="P709" i="1" s="1"/>
  <c r="M710" i="1"/>
  <c r="P710" i="1" s="1"/>
  <c r="M712" i="1"/>
  <c r="P712" i="1" s="1"/>
  <c r="M706" i="1"/>
  <c r="P706" i="1" s="1"/>
  <c r="M700" i="1"/>
  <c r="P700" i="1" s="1"/>
  <c r="M688" i="1"/>
  <c r="P688" i="1" s="1"/>
  <c r="M691" i="1"/>
  <c r="P691" i="1" s="1"/>
  <c r="M692" i="1"/>
  <c r="M689" i="1"/>
  <c r="P689" i="1" s="1"/>
  <c r="P663" i="1"/>
  <c r="P664" i="1"/>
  <c r="M653" i="1"/>
  <c r="P653" i="1" s="1"/>
  <c r="M652" i="1"/>
  <c r="P652" i="1" s="1"/>
  <c r="M655" i="1"/>
  <c r="P655" i="1" s="1"/>
  <c r="M654" i="1"/>
  <c r="P654" i="1" s="1"/>
  <c r="M651" i="1"/>
  <c r="P651" i="1" s="1"/>
  <c r="M628" i="1"/>
  <c r="M627" i="1"/>
  <c r="M624" i="1"/>
  <c r="M606" i="1"/>
  <c r="M588" i="1"/>
  <c r="M590" i="1"/>
  <c r="P590" i="1" s="1"/>
  <c r="M591" i="1"/>
  <c r="M587" i="1"/>
  <c r="P587" i="1" s="1"/>
  <c r="M592" i="1"/>
  <c r="P592" i="1" s="1"/>
  <c r="M584" i="1"/>
  <c r="M585" i="1"/>
  <c r="M586" i="1"/>
  <c r="M582" i="1"/>
  <c r="M583" i="1"/>
  <c r="M578" i="1"/>
  <c r="P578" i="1" s="1"/>
  <c r="M532" i="1"/>
  <c r="M529" i="1"/>
  <c r="M525" i="1"/>
  <c r="P525" i="1" s="1"/>
  <c r="M528" i="1"/>
  <c r="P528" i="1" s="1"/>
  <c r="M526" i="1"/>
  <c r="P526" i="1" s="1"/>
  <c r="M527" i="1"/>
  <c r="M522" i="1"/>
  <c r="P522" i="1" s="1"/>
  <c r="M524" i="1"/>
  <c r="P524" i="1" s="1"/>
  <c r="M517" i="1"/>
  <c r="M508" i="1"/>
  <c r="P508" i="1" s="1"/>
  <c r="M507" i="1"/>
  <c r="P507" i="1" s="1"/>
  <c r="M498" i="1"/>
  <c r="P498" i="1" s="1"/>
  <c r="M499" i="1"/>
  <c r="P499" i="1" s="1"/>
  <c r="M495" i="1"/>
  <c r="P495" i="1" s="1"/>
  <c r="M505" i="1"/>
  <c r="P505" i="1" s="1"/>
  <c r="M503" i="1"/>
  <c r="P503" i="1" s="1"/>
  <c r="M493" i="1"/>
  <c r="P493" i="1" s="1"/>
  <c r="M504" i="1"/>
  <c r="M500" i="1"/>
  <c r="M496" i="1"/>
  <c r="M494" i="1"/>
  <c r="M502" i="1"/>
  <c r="M506" i="1"/>
  <c r="P506" i="1" s="1"/>
  <c r="M491" i="1"/>
  <c r="P491" i="1" s="1"/>
  <c r="M476" i="1"/>
  <c r="M484" i="1"/>
  <c r="M479" i="1"/>
  <c r="M477" i="1"/>
  <c r="M483" i="1"/>
  <c r="M436" i="1"/>
  <c r="P436" i="1" s="1"/>
  <c r="M437" i="1"/>
  <c r="M435" i="1"/>
  <c r="M439" i="1"/>
  <c r="M438" i="1"/>
  <c r="R565" i="1" l="1"/>
  <c r="R570" i="1"/>
  <c r="R559" i="1"/>
  <c r="R568" i="1"/>
  <c r="R558" i="1"/>
  <c r="R576" i="1"/>
  <c r="R569" i="1"/>
  <c r="R556" i="1"/>
  <c r="R572" i="1"/>
  <c r="R557" i="1"/>
  <c r="R561" i="1"/>
  <c r="R562" i="1"/>
  <c r="R553" i="1"/>
  <c r="R554" i="1"/>
  <c r="R564" i="1"/>
  <c r="R573" i="1"/>
  <c r="R394" i="1"/>
  <c r="R393" i="1"/>
  <c r="R396" i="1"/>
  <c r="R397" i="1"/>
  <c r="R395" i="1"/>
  <c r="R392" i="1"/>
  <c r="R391" i="1"/>
  <c r="R390" i="1"/>
  <c r="R307" i="1"/>
  <c r="R305" i="1"/>
  <c r="R306" i="1"/>
  <c r="R309" i="1"/>
  <c r="R308" i="1"/>
  <c r="R364" i="1"/>
  <c r="R365" i="1"/>
  <c r="R348" i="1"/>
  <c r="R358" i="1"/>
  <c r="R373" i="1"/>
  <c r="R371" i="1"/>
  <c r="R372" i="1"/>
  <c r="R370" i="1"/>
  <c r="R316" i="1"/>
  <c r="R314" i="1"/>
  <c r="R312" i="1"/>
  <c r="R313" i="1"/>
  <c r="R334" i="1"/>
  <c r="R330" i="1"/>
  <c r="R353" i="1"/>
  <c r="R315" i="1"/>
  <c r="R317" i="1"/>
  <c r="R325" i="1"/>
  <c r="R323" i="1"/>
  <c r="R362" i="1"/>
  <c r="R321" i="1"/>
  <c r="R363" i="1"/>
  <c r="R350" i="1"/>
  <c r="R327" i="1"/>
  <c r="R326" i="1"/>
  <c r="R332" i="1"/>
  <c r="R328" i="1"/>
  <c r="R329" i="1"/>
  <c r="R336" i="1"/>
  <c r="R335" i="1"/>
  <c r="R331" i="1"/>
  <c r="R346" i="1"/>
  <c r="R345" i="1"/>
  <c r="R340" i="1"/>
  <c r="R333" i="1"/>
  <c r="R349" i="1"/>
  <c r="R354" i="1"/>
  <c r="R359" i="1"/>
  <c r="R357" i="1"/>
  <c r="R356" i="1"/>
  <c r="R338" i="1"/>
  <c r="R361" i="1"/>
  <c r="R341" i="1"/>
  <c r="R318" i="1"/>
  <c r="R343" i="1"/>
  <c r="R355" i="1"/>
  <c r="R319" i="1"/>
  <c r="R324" i="1"/>
  <c r="R337" i="1"/>
  <c r="R347" i="1"/>
  <c r="R320" i="1"/>
  <c r="R322" i="1"/>
  <c r="R344" i="1"/>
  <c r="R339" i="1"/>
  <c r="R342" i="1"/>
  <c r="R375" i="1"/>
  <c r="R369" i="1"/>
  <c r="R366" i="1"/>
  <c r="R374" i="1"/>
  <c r="R367" i="1"/>
  <c r="R411" i="1"/>
  <c r="R410" i="1"/>
  <c r="R409" i="1"/>
  <c r="R408" i="1"/>
  <c r="R398" i="1"/>
  <c r="R1550" i="1"/>
  <c r="R1548" i="1"/>
  <c r="R1547" i="1"/>
  <c r="R1553" i="1"/>
  <c r="R1552" i="1"/>
  <c r="R1544" i="1"/>
  <c r="R1551" i="1"/>
  <c r="R1549" i="1"/>
  <c r="R1545" i="1"/>
  <c r="R1538" i="1"/>
  <c r="R1531" i="1"/>
  <c r="R1533" i="1"/>
  <c r="R1536" i="1"/>
  <c r="R1530" i="1"/>
  <c r="R1529" i="1"/>
  <c r="R1521" i="1"/>
  <c r="R1517" i="1"/>
  <c r="R1519" i="1"/>
  <c r="R1518" i="1"/>
  <c r="R1520" i="1"/>
  <c r="R1448" i="1"/>
  <c r="R1449" i="1"/>
  <c r="R1453" i="1"/>
  <c r="R1455" i="1"/>
  <c r="R1456" i="1"/>
  <c r="R1454" i="1"/>
  <c r="R1450" i="1"/>
  <c r="R1451" i="1"/>
  <c r="R1452" i="1"/>
  <c r="R1457" i="1"/>
  <c r="R1510" i="1"/>
  <c r="R1503" i="1"/>
  <c r="R1504" i="1"/>
  <c r="R1507" i="1"/>
  <c r="R1502" i="1"/>
  <c r="R1508" i="1"/>
  <c r="R1501" i="1"/>
  <c r="R1506" i="1"/>
  <c r="R1505" i="1"/>
  <c r="R1464" i="1"/>
  <c r="R1462" i="1"/>
  <c r="R1461" i="1"/>
  <c r="R1463" i="1"/>
  <c r="R1465" i="1"/>
  <c r="R1460" i="1"/>
  <c r="R1446" i="1"/>
  <c r="R1445" i="1"/>
  <c r="R1441" i="1"/>
  <c r="R854" i="1"/>
  <c r="R856" i="1"/>
  <c r="R853" i="1"/>
  <c r="R849" i="1"/>
  <c r="R847" i="1"/>
  <c r="R855" i="1"/>
  <c r="R850" i="1"/>
  <c r="R846" i="1"/>
  <c r="R843" i="1"/>
  <c r="R841" i="1"/>
  <c r="R839" i="1"/>
  <c r="R840" i="1"/>
  <c r="R842" i="1"/>
  <c r="R837" i="1"/>
  <c r="R831" i="1"/>
  <c r="R833" i="1"/>
  <c r="R834" i="1"/>
  <c r="R835" i="1"/>
  <c r="R832" i="1"/>
  <c r="R830" i="1"/>
  <c r="R829" i="1"/>
  <c r="R827" i="1"/>
  <c r="R826" i="1"/>
  <c r="R820" i="1"/>
  <c r="R813" i="1"/>
  <c r="R816" i="1"/>
  <c r="R817" i="1"/>
  <c r="R814" i="1"/>
  <c r="R815" i="1"/>
  <c r="R807" i="1"/>
  <c r="R808" i="1"/>
  <c r="R809" i="1"/>
  <c r="R810" i="1"/>
  <c r="R806" i="1"/>
  <c r="R800" i="1"/>
  <c r="R799" i="1"/>
  <c r="R798" i="1"/>
  <c r="R797" i="1"/>
  <c r="R793" i="1"/>
  <c r="R790" i="1"/>
  <c r="R791" i="1"/>
  <c r="R788" i="1"/>
  <c r="R786" i="1"/>
  <c r="R784" i="1"/>
  <c r="R787" i="1"/>
  <c r="R785" i="1"/>
  <c r="R782" i="1"/>
  <c r="R783" i="1"/>
  <c r="R779" i="1"/>
  <c r="R780" i="1"/>
  <c r="R781" i="1"/>
  <c r="R777" i="1"/>
  <c r="R778" i="1"/>
  <c r="R776" i="1"/>
  <c r="R775" i="1"/>
  <c r="R772" i="1"/>
  <c r="R770" i="1"/>
  <c r="R769" i="1"/>
  <c r="R750" i="1"/>
  <c r="R752" i="1"/>
  <c r="R745" i="1"/>
  <c r="R742" i="1"/>
  <c r="R753" i="1"/>
  <c r="R754" i="1"/>
  <c r="R761" i="1"/>
  <c r="R748" i="1"/>
  <c r="R747" i="1"/>
  <c r="R746" i="1"/>
  <c r="R738" i="1"/>
  <c r="R737" i="1"/>
  <c r="R736" i="1"/>
  <c r="R735" i="1"/>
  <c r="R734" i="1"/>
  <c r="R733" i="1"/>
  <c r="R732" i="1"/>
  <c r="R731" i="1"/>
  <c r="R730" i="1"/>
  <c r="R740" i="1"/>
  <c r="R729" i="1"/>
  <c r="R727" i="1"/>
  <c r="R723" i="1"/>
  <c r="R726" i="1"/>
  <c r="R721" i="1"/>
  <c r="R705" i="1"/>
  <c r="R717" i="1"/>
  <c r="R708" i="1"/>
  <c r="R707" i="1"/>
  <c r="R711" i="1"/>
  <c r="R713" i="1"/>
  <c r="R714" i="1"/>
  <c r="R715" i="1"/>
  <c r="R716" i="1"/>
  <c r="R709" i="1"/>
  <c r="R710" i="1"/>
  <c r="R712" i="1"/>
  <c r="R706" i="1"/>
  <c r="R700" i="1"/>
  <c r="R688" i="1"/>
  <c r="R691" i="1"/>
  <c r="R692" i="1"/>
  <c r="R689" i="1"/>
  <c r="R663" i="1"/>
  <c r="R664" i="1"/>
  <c r="R661" i="1"/>
  <c r="R662" i="1"/>
  <c r="R660" i="1"/>
  <c r="R653" i="1"/>
  <c r="R652" i="1"/>
  <c r="R655" i="1"/>
  <c r="R654" i="1"/>
  <c r="R651" i="1"/>
  <c r="R628" i="1"/>
  <c r="R627" i="1"/>
  <c r="R624" i="1"/>
  <c r="R606" i="1"/>
  <c r="R588" i="1"/>
  <c r="R589" i="1"/>
  <c r="R590" i="1"/>
  <c r="R591" i="1"/>
  <c r="R587" i="1"/>
  <c r="R592" i="1"/>
  <c r="R584" i="1"/>
  <c r="R585" i="1"/>
  <c r="R586" i="1"/>
  <c r="R582" i="1"/>
  <c r="R583" i="1"/>
  <c r="R578" i="1"/>
  <c r="R536" i="1"/>
  <c r="R545" i="1"/>
  <c r="R547" i="1"/>
  <c r="R548" i="1"/>
  <c r="R544" i="1"/>
  <c r="R540" i="1"/>
  <c r="R546" i="1"/>
  <c r="R543" i="1"/>
  <c r="R549" i="1"/>
  <c r="R542" i="1"/>
  <c r="R552" i="1"/>
  <c r="R550" i="1"/>
  <c r="R539" i="1"/>
  <c r="R537" i="1"/>
  <c r="R551" i="1"/>
  <c r="R538" i="1"/>
  <c r="R541" i="1"/>
  <c r="R531" i="1"/>
  <c r="R532" i="1"/>
  <c r="R529" i="1"/>
  <c r="R525" i="1"/>
  <c r="R528" i="1"/>
  <c r="R526" i="1"/>
  <c r="R527" i="1"/>
  <c r="R522" i="1"/>
  <c r="R524" i="1"/>
  <c r="R517" i="1"/>
  <c r="R509" i="1"/>
  <c r="R510" i="1"/>
  <c r="R508" i="1"/>
  <c r="R507" i="1"/>
  <c r="R498" i="1"/>
  <c r="R499" i="1"/>
  <c r="R495" i="1"/>
  <c r="R492" i="1"/>
  <c r="R505" i="1"/>
  <c r="R503" i="1"/>
  <c r="R493" i="1"/>
  <c r="R504" i="1"/>
  <c r="R500" i="1"/>
  <c r="R496" i="1"/>
  <c r="R494" i="1"/>
  <c r="R502" i="1"/>
  <c r="R506" i="1"/>
  <c r="R491" i="1"/>
  <c r="R490" i="1"/>
  <c r="R476" i="1"/>
  <c r="R484" i="1"/>
  <c r="R489" i="1"/>
  <c r="R486" i="1"/>
  <c r="R488" i="1"/>
  <c r="R487" i="1"/>
  <c r="R485" i="1"/>
  <c r="R479" i="1"/>
  <c r="R477" i="1"/>
  <c r="R483" i="1"/>
  <c r="R475" i="1"/>
  <c r="R456" i="1"/>
  <c r="R461" i="1"/>
  <c r="R457" i="1"/>
  <c r="R468" i="1"/>
  <c r="R469" i="1"/>
  <c r="R467" i="1"/>
  <c r="R452" i="1"/>
  <c r="R465" i="1"/>
  <c r="R462" i="1"/>
  <c r="R463" i="1"/>
  <c r="R458" i="1"/>
  <c r="R459" i="1"/>
  <c r="R454" i="1"/>
  <c r="R460" i="1"/>
  <c r="R455" i="1"/>
  <c r="R470" i="1"/>
  <c r="R471" i="1"/>
  <c r="R450" i="1"/>
  <c r="R436" i="1"/>
  <c r="R437" i="1"/>
  <c r="R435" i="1"/>
  <c r="R439" i="1"/>
  <c r="R438" i="1"/>
  <c r="R1269" i="1"/>
  <c r="R1268" i="1"/>
  <c r="R1240" i="1"/>
  <c r="R1228" i="1"/>
  <c r="R1225" i="1"/>
  <c r="R1233" i="1"/>
  <c r="R1217" i="1"/>
  <c r="R1237" i="1"/>
  <c r="R1244" i="1"/>
  <c r="R1246" i="1"/>
  <c r="R1259" i="1"/>
  <c r="R1262" i="1"/>
  <c r="R1267" i="1"/>
  <c r="R1251" i="1"/>
  <c r="R1236" i="1"/>
  <c r="R1266" i="1"/>
  <c r="R1239" i="1"/>
  <c r="R1216" i="1"/>
  <c r="R1264" i="1"/>
  <c r="R1258" i="1"/>
  <c r="R1265" i="1"/>
  <c r="R1238" i="1"/>
  <c r="R1210" i="1"/>
  <c r="R1220" i="1"/>
  <c r="R1214" i="1"/>
  <c r="R1212" i="1"/>
  <c r="R1255" i="1"/>
  <c r="R1252" i="1"/>
  <c r="R1261" i="1"/>
  <c r="R1254" i="1"/>
  <c r="R1245" i="1"/>
  <c r="R1250" i="1"/>
  <c r="R1219" i="1"/>
  <c r="R1248" i="1"/>
  <c r="R1263" i="1"/>
  <c r="R1242" i="1"/>
  <c r="R1243" i="1"/>
  <c r="R1224" i="1"/>
  <c r="R1227" i="1"/>
  <c r="R1222" i="1"/>
  <c r="R1232" i="1"/>
  <c r="R1260" i="1"/>
  <c r="R1253" i="1"/>
  <c r="R1247" i="1"/>
  <c r="R1223" i="1"/>
  <c r="R1241" i="1"/>
  <c r="R1215" i="1"/>
  <c r="R1209" i="1"/>
  <c r="R1211" i="1"/>
  <c r="R1221" i="1"/>
  <c r="R1256" i="1"/>
  <c r="R1235" i="1"/>
  <c r="R1234" i="1"/>
  <c r="R1257" i="1"/>
  <c r="R1231" i="1"/>
  <c r="R1207" i="1"/>
  <c r="R1208" i="1"/>
  <c r="R1249" i="1"/>
  <c r="R1218" i="1"/>
  <c r="R1226" i="1"/>
  <c r="R1213" i="1"/>
  <c r="R1202" i="1"/>
  <c r="R1198" i="1"/>
  <c r="R1199" i="1"/>
  <c r="R1195" i="1"/>
  <c r="R1197" i="1"/>
  <c r="R1196" i="1"/>
  <c r="R1149" i="1"/>
  <c r="R1153" i="1"/>
  <c r="R1159" i="1"/>
  <c r="R1155" i="1"/>
  <c r="R1158" i="1"/>
  <c r="R1156" i="1"/>
  <c r="R1152" i="1"/>
  <c r="R1151" i="1"/>
  <c r="R1150" i="1"/>
  <c r="R1148" i="1"/>
  <c r="R1144" i="1"/>
  <c r="R1147" i="1"/>
  <c r="R1143" i="1"/>
  <c r="R1146" i="1"/>
  <c r="R1142" i="1"/>
  <c r="R1135" i="1"/>
  <c r="R1134" i="1"/>
  <c r="R1130" i="1"/>
  <c r="R1129" i="1"/>
  <c r="R1128" i="1"/>
  <c r="R1123" i="1"/>
  <c r="R1124" i="1"/>
  <c r="R1121" i="1"/>
  <c r="R1120" i="1"/>
  <c r="R1122" i="1"/>
  <c r="R1118" i="1"/>
  <c r="R1117" i="1"/>
  <c r="R1116" i="1"/>
  <c r="R1115" i="1"/>
  <c r="R1098" i="1"/>
  <c r="R1103" i="1"/>
  <c r="R1104" i="1"/>
  <c r="R1105" i="1"/>
  <c r="R1092" i="1"/>
  <c r="R1110" i="1"/>
  <c r="R1095" i="1"/>
  <c r="R1108" i="1"/>
  <c r="R1097" i="1"/>
  <c r="R1096" i="1"/>
  <c r="R1102" i="1"/>
  <c r="R1101" i="1"/>
  <c r="R1106" i="1"/>
  <c r="R1099" i="1"/>
  <c r="R1107" i="1"/>
  <c r="R1112" i="1"/>
  <c r="R1093" i="1"/>
  <c r="R1094" i="1"/>
  <c r="R1100" i="1"/>
  <c r="R1090" i="1"/>
  <c r="R1070" i="1"/>
  <c r="R1069" i="1"/>
  <c r="R1071" i="1"/>
  <c r="R1065" i="1"/>
  <c r="R1062" i="1"/>
  <c r="R1064" i="1"/>
  <c r="R1067" i="1"/>
  <c r="R1066" i="1"/>
  <c r="R1060" i="1"/>
  <c r="R1061" i="1"/>
  <c r="R1063" i="1"/>
  <c r="R1059" i="1"/>
  <c r="R1055" i="1"/>
  <c r="R1039" i="1"/>
  <c r="R1041" i="1"/>
  <c r="R1002" i="1"/>
  <c r="R1017" i="1"/>
  <c r="R1013" i="1"/>
  <c r="R1019" i="1"/>
  <c r="R1027" i="1"/>
  <c r="R1012" i="1"/>
  <c r="R989" i="1"/>
  <c r="R991" i="1"/>
  <c r="R992" i="1"/>
  <c r="R994" i="1"/>
  <c r="R993" i="1"/>
  <c r="R987" i="1"/>
  <c r="R986" i="1"/>
  <c r="R978" i="1"/>
  <c r="R981" i="1"/>
  <c r="R980" i="1"/>
  <c r="R979" i="1"/>
  <c r="R955" i="1"/>
  <c r="R956" i="1"/>
  <c r="R957" i="1"/>
  <c r="R948" i="1"/>
  <c r="R947" i="1"/>
  <c r="R943" i="1"/>
  <c r="R941" i="1"/>
  <c r="R942" i="1"/>
  <c r="R940" i="1"/>
  <c r="R938" i="1"/>
  <c r="R939" i="1"/>
  <c r="R945" i="1"/>
  <c r="R928" i="1"/>
  <c r="R927" i="1"/>
  <c r="R937" i="1"/>
  <c r="R936" i="1"/>
  <c r="R934" i="1"/>
  <c r="R930" i="1"/>
  <c r="R931" i="1"/>
  <c r="R933" i="1"/>
  <c r="R932" i="1"/>
  <c r="R935" i="1"/>
  <c r="R926" i="1"/>
  <c r="R929" i="1"/>
  <c r="R925" i="1"/>
  <c r="R918" i="1"/>
  <c r="R915" i="1"/>
  <c r="R920" i="1"/>
  <c r="R921" i="1"/>
  <c r="R916" i="1"/>
  <c r="R898" i="1"/>
  <c r="R900" i="1"/>
  <c r="R884" i="1"/>
  <c r="R890" i="1"/>
  <c r="R881" i="1"/>
  <c r="R910" i="1"/>
  <c r="R906" i="1"/>
  <c r="R887" i="1"/>
  <c r="R885" i="1"/>
  <c r="R909" i="1"/>
  <c r="R901" i="1"/>
  <c r="R902" i="1"/>
  <c r="R891" i="1"/>
  <c r="R894" i="1"/>
  <c r="R899" i="1"/>
  <c r="R903" i="1"/>
  <c r="R896" i="1"/>
  <c r="R892" i="1"/>
  <c r="R893" i="1"/>
  <c r="R897" i="1"/>
  <c r="R904" i="1"/>
  <c r="R883" i="1"/>
  <c r="R888" i="1"/>
  <c r="R879" i="1"/>
  <c r="R880" i="1"/>
  <c r="R878" i="1"/>
  <c r="R876" i="1"/>
  <c r="R870" i="1"/>
  <c r="R875" i="1"/>
  <c r="R864" i="1"/>
  <c r="R858" i="1"/>
  <c r="R862" i="1"/>
  <c r="R863" i="1"/>
  <c r="R861" i="1"/>
  <c r="R859" i="1"/>
  <c r="R857" i="1"/>
  <c r="R165" i="1"/>
  <c r="R166" i="1"/>
  <c r="R168" i="1"/>
  <c r="R167" i="1"/>
  <c r="R169" i="1"/>
  <c r="R164" i="1"/>
  <c r="R162" i="1"/>
  <c r="R163" i="1"/>
  <c r="R161" i="1"/>
  <c r="R265" i="1"/>
  <c r="R243" i="1"/>
  <c r="R258" i="1"/>
  <c r="R252" i="1"/>
  <c r="R249" i="1"/>
  <c r="R253" i="1"/>
  <c r="R264" i="1"/>
  <c r="R262" i="1"/>
  <c r="R263" i="1"/>
  <c r="R260" i="1"/>
  <c r="R256" i="1"/>
  <c r="R254" i="1"/>
  <c r="R248" i="1"/>
  <c r="R250" i="1"/>
  <c r="R261" i="1"/>
  <c r="R255" i="1"/>
  <c r="R251" i="1"/>
  <c r="R257" i="1"/>
  <c r="R244" i="1"/>
  <c r="R246" i="1"/>
  <c r="R160" i="1"/>
  <c r="R156" i="1"/>
  <c r="R157" i="1"/>
  <c r="R158" i="1"/>
  <c r="R155" i="1"/>
  <c r="R153" i="1"/>
  <c r="R151" i="1"/>
  <c r="R150" i="1"/>
  <c r="R148" i="1"/>
  <c r="R149" i="1"/>
  <c r="R146" i="1"/>
  <c r="R142" i="1"/>
  <c r="R143" i="1"/>
  <c r="Q1230" i="1"/>
  <c r="Q1229" i="1"/>
  <c r="P1002" i="1"/>
  <c r="P1017" i="1"/>
  <c r="P1013" i="1"/>
  <c r="P956" i="1"/>
  <c r="Q871" i="1"/>
  <c r="Q874" i="1"/>
  <c r="Q259" i="1"/>
  <c r="M1228" i="1"/>
  <c r="M1225" i="1"/>
  <c r="M1233" i="1"/>
  <c r="M1217" i="1"/>
  <c r="M1237" i="1"/>
  <c r="M1244" i="1"/>
  <c r="M1246" i="1"/>
  <c r="M1259" i="1"/>
  <c r="M1262" i="1"/>
  <c r="M1267" i="1"/>
  <c r="M1251" i="1"/>
  <c r="P1251" i="1" s="1"/>
  <c r="M1236" i="1"/>
  <c r="P1236" i="1" s="1"/>
  <c r="M1266" i="1"/>
  <c r="M1239" i="1"/>
  <c r="M1216" i="1"/>
  <c r="M1264" i="1"/>
  <c r="M1258" i="1"/>
  <c r="M1265" i="1"/>
  <c r="M1238" i="1"/>
  <c r="P1238" i="1" s="1"/>
  <c r="M1210" i="1"/>
  <c r="P1210" i="1" s="1"/>
  <c r="M1220" i="1"/>
  <c r="P1220" i="1" s="1"/>
  <c r="M1214" i="1"/>
  <c r="P1214" i="1" s="1"/>
  <c r="M1212" i="1"/>
  <c r="P1212" i="1" s="1"/>
  <c r="M1255" i="1"/>
  <c r="P1255" i="1" s="1"/>
  <c r="M1252" i="1"/>
  <c r="P1252" i="1" s="1"/>
  <c r="M1261" i="1"/>
  <c r="P1261" i="1" s="1"/>
  <c r="M1254" i="1"/>
  <c r="P1254" i="1" s="1"/>
  <c r="M1245" i="1"/>
  <c r="M1250" i="1"/>
  <c r="P1250" i="1" s="1"/>
  <c r="M1230" i="1"/>
  <c r="P1230" i="1" s="1"/>
  <c r="M1219" i="1"/>
  <c r="M1248" i="1"/>
  <c r="M1263" i="1"/>
  <c r="M1242" i="1"/>
  <c r="P1242" i="1" s="1"/>
  <c r="M1243" i="1"/>
  <c r="P1243" i="1" s="1"/>
  <c r="M1229" i="1"/>
  <c r="P1229" i="1" s="1"/>
  <c r="M1224" i="1"/>
  <c r="P1224" i="1" s="1"/>
  <c r="M1227" i="1"/>
  <c r="P1227" i="1" s="1"/>
  <c r="M1222" i="1"/>
  <c r="P1222" i="1" s="1"/>
  <c r="M1232" i="1"/>
  <c r="P1232" i="1" s="1"/>
  <c r="M1260" i="1"/>
  <c r="P1260" i="1" s="1"/>
  <c r="M1253" i="1"/>
  <c r="P1253" i="1" s="1"/>
  <c r="M1247" i="1"/>
  <c r="P1247" i="1" s="1"/>
  <c r="M1223" i="1"/>
  <c r="P1223" i="1" s="1"/>
  <c r="M1241" i="1"/>
  <c r="P1241" i="1" s="1"/>
  <c r="M1215" i="1"/>
  <c r="P1215" i="1" s="1"/>
  <c r="M1209" i="1"/>
  <c r="M1211" i="1"/>
  <c r="P1211" i="1" s="1"/>
  <c r="M1221" i="1"/>
  <c r="M1256" i="1"/>
  <c r="M1235" i="1"/>
  <c r="M1234" i="1"/>
  <c r="M1257" i="1"/>
  <c r="M1231" i="1"/>
  <c r="M1207" i="1"/>
  <c r="M1208" i="1"/>
  <c r="M1249" i="1"/>
  <c r="M1218" i="1"/>
  <c r="P1218" i="1" s="1"/>
  <c r="M1226" i="1"/>
  <c r="P1226" i="1" s="1"/>
  <c r="M1213" i="1"/>
  <c r="P1213" i="1" s="1"/>
  <c r="M1202" i="1"/>
  <c r="M1198" i="1"/>
  <c r="M1199" i="1"/>
  <c r="M1195" i="1"/>
  <c r="M1197" i="1"/>
  <c r="M1196" i="1"/>
  <c r="M1149" i="1"/>
  <c r="M1153" i="1"/>
  <c r="M1159" i="1"/>
  <c r="M1155" i="1"/>
  <c r="M1158" i="1"/>
  <c r="M1156" i="1"/>
  <c r="M1152" i="1"/>
  <c r="M1151" i="1"/>
  <c r="M1150" i="1"/>
  <c r="M1148" i="1"/>
  <c r="M1144" i="1"/>
  <c r="M1143" i="1"/>
  <c r="M1146" i="1"/>
  <c r="P1146" i="1" s="1"/>
  <c r="M1142" i="1"/>
  <c r="M1135" i="1"/>
  <c r="M1134" i="1"/>
  <c r="P1134" i="1" s="1"/>
  <c r="M1130" i="1"/>
  <c r="P1130" i="1" s="1"/>
  <c r="M1129" i="1"/>
  <c r="P1129" i="1" s="1"/>
  <c r="M1128" i="1"/>
  <c r="P1128" i="1" s="1"/>
  <c r="M1123" i="1"/>
  <c r="M1124" i="1"/>
  <c r="M1121" i="1"/>
  <c r="M1120" i="1"/>
  <c r="P1120" i="1" s="1"/>
  <c r="M1122" i="1"/>
  <c r="P1122" i="1" s="1"/>
  <c r="M1098" i="1"/>
  <c r="P1098" i="1" s="1"/>
  <c r="M1103" i="1"/>
  <c r="P1103" i="1" s="1"/>
  <c r="M1104" i="1"/>
  <c r="P1104" i="1" s="1"/>
  <c r="M1105" i="1"/>
  <c r="P1105" i="1" s="1"/>
  <c r="M1092" i="1"/>
  <c r="M1110" i="1"/>
  <c r="P1110" i="1" s="1"/>
  <c r="M1095" i="1"/>
  <c r="P1095" i="1" s="1"/>
  <c r="M1108" i="1"/>
  <c r="P1108" i="1" s="1"/>
  <c r="M1097" i="1"/>
  <c r="P1097" i="1" s="1"/>
  <c r="M1096" i="1"/>
  <c r="P1096" i="1" s="1"/>
  <c r="M1102" i="1"/>
  <c r="P1102" i="1" s="1"/>
  <c r="M1101" i="1"/>
  <c r="P1101" i="1" s="1"/>
  <c r="M1106" i="1"/>
  <c r="P1106" i="1" s="1"/>
  <c r="M1099" i="1"/>
  <c r="P1099" i="1" s="1"/>
  <c r="M1107" i="1"/>
  <c r="P1107" i="1" s="1"/>
  <c r="M1112" i="1"/>
  <c r="P1112" i="1" s="1"/>
  <c r="M1093" i="1"/>
  <c r="P1093" i="1" s="1"/>
  <c r="M1094" i="1"/>
  <c r="P1094" i="1" s="1"/>
  <c r="M1100" i="1"/>
  <c r="P1100" i="1" s="1"/>
  <c r="M1090" i="1"/>
  <c r="M1070" i="1"/>
  <c r="M1069" i="1"/>
  <c r="P1069" i="1" s="1"/>
  <c r="M1071" i="1"/>
  <c r="P1071" i="1" s="1"/>
  <c r="M1065" i="1"/>
  <c r="M1062" i="1"/>
  <c r="M1064" i="1"/>
  <c r="P1064" i="1" s="1"/>
  <c r="M1067" i="1"/>
  <c r="P1067" i="1" s="1"/>
  <c r="M1066" i="1"/>
  <c r="P1066" i="1" s="1"/>
  <c r="M1060" i="1"/>
  <c r="P1060" i="1" s="1"/>
  <c r="M1061" i="1"/>
  <c r="P1061" i="1" s="1"/>
  <c r="M1063" i="1"/>
  <c r="P1063" i="1" s="1"/>
  <c r="M1059" i="1"/>
  <c r="P1059" i="1" s="1"/>
  <c r="M1055" i="1"/>
  <c r="M1039" i="1"/>
  <c r="M1041" i="1"/>
  <c r="M1019" i="1"/>
  <c r="P1019" i="1" s="1"/>
  <c r="M1027" i="1"/>
  <c r="P1027" i="1" s="1"/>
  <c r="M1012" i="1"/>
  <c r="P1012" i="1" s="1"/>
  <c r="M989" i="1"/>
  <c r="P989" i="1" s="1"/>
  <c r="M987" i="1"/>
  <c r="M986" i="1"/>
  <c r="M978" i="1"/>
  <c r="P978" i="1" s="1"/>
  <c r="M981" i="1"/>
  <c r="P981" i="1" s="1"/>
  <c r="M980" i="1"/>
  <c r="M979" i="1"/>
  <c r="P979" i="1" s="1"/>
  <c r="M948" i="1"/>
  <c r="P948" i="1" s="1"/>
  <c r="M947" i="1"/>
  <c r="M943" i="1"/>
  <c r="M941" i="1"/>
  <c r="M942" i="1"/>
  <c r="M940" i="1"/>
  <c r="M938" i="1"/>
  <c r="M939" i="1"/>
  <c r="M945" i="1"/>
  <c r="M925" i="1"/>
  <c r="M918" i="1"/>
  <c r="M915" i="1"/>
  <c r="P915" i="1" s="1"/>
  <c r="M920" i="1"/>
  <c r="M921" i="1"/>
  <c r="M916" i="1"/>
  <c r="M900" i="1"/>
  <c r="P900" i="1" s="1"/>
  <c r="M884" i="1"/>
  <c r="M890" i="1"/>
  <c r="M881" i="1"/>
  <c r="M906" i="1"/>
  <c r="P906" i="1" s="1"/>
  <c r="M887" i="1"/>
  <c r="M885" i="1"/>
  <c r="P885" i="1" s="1"/>
  <c r="M909" i="1"/>
  <c r="M901" i="1"/>
  <c r="P901" i="1" s="1"/>
  <c r="M902" i="1"/>
  <c r="P902" i="1" s="1"/>
  <c r="M891" i="1"/>
  <c r="P891" i="1" s="1"/>
  <c r="M894" i="1"/>
  <c r="P894" i="1" s="1"/>
  <c r="M899" i="1"/>
  <c r="P899" i="1" s="1"/>
  <c r="M903" i="1"/>
  <c r="P903" i="1" s="1"/>
  <c r="M896" i="1"/>
  <c r="P896" i="1" s="1"/>
  <c r="M892" i="1"/>
  <c r="P892" i="1" s="1"/>
  <c r="M893" i="1"/>
  <c r="P893" i="1" s="1"/>
  <c r="M897" i="1"/>
  <c r="M904" i="1"/>
  <c r="M883" i="1"/>
  <c r="P883" i="1" s="1"/>
  <c r="M888" i="1"/>
  <c r="M879" i="1"/>
  <c r="P879" i="1" s="1"/>
  <c r="M880" i="1"/>
  <c r="M878" i="1"/>
  <c r="M876" i="1"/>
  <c r="P876" i="1" s="1"/>
  <c r="M870" i="1"/>
  <c r="M875" i="1"/>
  <c r="M871" i="1"/>
  <c r="P871" i="1" s="1"/>
  <c r="M874" i="1"/>
  <c r="P874" i="1" s="1"/>
  <c r="M864" i="1"/>
  <c r="M858" i="1"/>
  <c r="M862" i="1"/>
  <c r="M863" i="1"/>
  <c r="M861" i="1"/>
  <c r="M859" i="1"/>
  <c r="M857" i="1"/>
  <c r="M162" i="1"/>
  <c r="P162" i="1" s="1"/>
  <c r="M163" i="1"/>
  <c r="P163" i="1" s="1"/>
  <c r="M161" i="1"/>
  <c r="P161" i="1" s="1"/>
  <c r="M265" i="1"/>
  <c r="M243" i="1"/>
  <c r="M258" i="1"/>
  <c r="M262" i="1"/>
  <c r="M263" i="1"/>
  <c r="M260" i="1"/>
  <c r="M256" i="1"/>
  <c r="M254" i="1"/>
  <c r="M248" i="1"/>
  <c r="P248" i="1" s="1"/>
  <c r="M250" i="1"/>
  <c r="P250" i="1" s="1"/>
  <c r="M261" i="1"/>
  <c r="P261" i="1" s="1"/>
  <c r="M255" i="1"/>
  <c r="P255" i="1" s="1"/>
  <c r="M251" i="1"/>
  <c r="P251" i="1" s="1"/>
  <c r="M259" i="1"/>
  <c r="P259" i="1" s="1"/>
  <c r="M244" i="1"/>
  <c r="M246" i="1"/>
  <c r="M160" i="1"/>
  <c r="P160" i="1" s="1"/>
  <c r="M156" i="1"/>
  <c r="M157" i="1"/>
  <c r="M158" i="1"/>
  <c r="M155" i="1"/>
  <c r="P155" i="1" s="1"/>
  <c r="M153" i="1"/>
  <c r="P153" i="1" s="1"/>
  <c r="M151" i="1"/>
  <c r="M150" i="1"/>
  <c r="M148" i="1"/>
  <c r="M149" i="1"/>
  <c r="M142" i="1"/>
  <c r="M143" i="1"/>
  <c r="R259" i="1" l="1"/>
  <c r="R1230" i="1"/>
  <c r="R874" i="1"/>
  <c r="R871" i="1"/>
  <c r="R1229" i="1"/>
  <c r="U1555" i="1" l="1"/>
  <c r="S1555" i="1"/>
  <c r="N1555" i="1" l="1"/>
  <c r="V1555" i="1"/>
  <c r="W1555" i="1"/>
  <c r="G1555" i="1"/>
  <c r="H1555" i="1"/>
  <c r="X1555" i="1" l="1"/>
  <c r="E210" i="17" l="1"/>
  <c r="C210" i="17"/>
  <c r="AH1555" i="1" l="1"/>
  <c r="D210" i="17" l="1"/>
  <c r="Q1555" i="1" l="1"/>
  <c r="R1555" i="1" l="1"/>
  <c r="AI1555" i="1" l="1"/>
  <c r="AJ1555" i="1" l="1"/>
  <c r="I210" i="17" l="1"/>
  <c r="J210" i="17"/>
  <c r="K210" i="17"/>
  <c r="G210" i="17"/>
  <c r="H210" i="17"/>
  <c r="F210" i="17"/>
</calcChain>
</file>

<file path=xl/sharedStrings.xml><?xml version="1.0" encoding="utf-8"?>
<sst xmlns="http://schemas.openxmlformats.org/spreadsheetml/2006/main" count="26294" uniqueCount="8554">
  <si>
    <t>MODALIDADE / 
Nº LICITAÇÃO</t>
  </si>
  <si>
    <t>IDENTIFICAÇÃO DA OBRA, SERVIÇO OU AQUISIÇÃO</t>
  </si>
  <si>
    <t>CONVÊNIO</t>
  </si>
  <si>
    <t>CONTRATADO</t>
  </si>
  <si>
    <t>CONTRATO</t>
  </si>
  <si>
    <t>ADITIVO</t>
  </si>
  <si>
    <t>REAJUSTE
(R$)</t>
  </si>
  <si>
    <t>EXECUÇÃO</t>
  </si>
  <si>
    <t>Nº/Ano</t>
  </si>
  <si>
    <t>CONCEDENTE</t>
  </si>
  <si>
    <t>REPASSE
(R$)</t>
  </si>
  <si>
    <t>CNPJ/CPF</t>
  </si>
  <si>
    <t>RAZÃO SOCIAL</t>
  </si>
  <si>
    <t>DATA INÍCIO</t>
  </si>
  <si>
    <t>DATA CONCLUSÃO / PARALISAÇÃO</t>
  </si>
  <si>
    <t>VALOR ADITADO ACUMULADO
(R$)</t>
  </si>
  <si>
    <t>NATUREZA DA DESPESA</t>
  </si>
  <si>
    <t>VALOR MEDIDO ACUMULADO
(R$)</t>
  </si>
  <si>
    <t>VALOR PAGO ACUMULADO NO PERÍODO
(R$)</t>
  </si>
  <si>
    <t>VALOR PAGO ACUMULADO NO EXERCÍCIO
(R$)</t>
  </si>
  <si>
    <t>VALOR  PAGO ACUMULADO NA OBRA OU SERVIÇO
(R$)</t>
  </si>
  <si>
    <t>Unidade da Federação</t>
  </si>
  <si>
    <t>Órgão</t>
  </si>
  <si>
    <t>INFORMAÇÕES DO MAPA DE OBRAS</t>
  </si>
  <si>
    <t>PRAZO
(em dias)</t>
  </si>
  <si>
    <t>VALOR CONTRATADO
(R$)</t>
  </si>
  <si>
    <t>PRAZO ADITADO
(em dias)</t>
  </si>
  <si>
    <t>CONTRAPARTIDA
(R$)</t>
  </si>
  <si>
    <t>TOTALIZAÇÃO</t>
  </si>
  <si>
    <t>GAMELEIRA</t>
  </si>
  <si>
    <t>GARANHUNS</t>
  </si>
  <si>
    <t>019/2016</t>
  </si>
  <si>
    <t>4.4.90.51.00</t>
  </si>
  <si>
    <t>Concluída</t>
  </si>
  <si>
    <t>TP 002/2016</t>
  </si>
  <si>
    <t>14.593.288/0001-60</t>
  </si>
  <si>
    <t>036/2016</t>
  </si>
  <si>
    <t>PREFEITURA MUNICIPAL</t>
  </si>
  <si>
    <t>----------</t>
  </si>
  <si>
    <t>X</t>
  </si>
  <si>
    <t>33.90.39</t>
  </si>
  <si>
    <t>Concluído</t>
  </si>
  <si>
    <t>Andamento</t>
  </si>
  <si>
    <t>FNDE</t>
  </si>
  <si>
    <t>---------</t>
  </si>
  <si>
    <t>44.90.51</t>
  </si>
  <si>
    <t>-</t>
  </si>
  <si>
    <t>-------------</t>
  </si>
  <si>
    <t>09.508.071/0001-74</t>
  </si>
  <si>
    <t>001/2013</t>
  </si>
  <si>
    <t>04.355.910/0001-48</t>
  </si>
  <si>
    <t>06 meses</t>
  </si>
  <si>
    <t>4.4.90.51</t>
  </si>
  <si>
    <t>10.433.608/0001-63</t>
  </si>
  <si>
    <t>014/2014</t>
  </si>
  <si>
    <t>TP 002/2015</t>
  </si>
  <si>
    <t>003/2016</t>
  </si>
  <si>
    <t>TP 001/2015</t>
  </si>
  <si>
    <t>09.653.769/0001-83</t>
  </si>
  <si>
    <t>CC 001/2013</t>
  </si>
  <si>
    <t>MINISTÉRIO DA EDUCAÇÃO</t>
  </si>
  <si>
    <t>05.545.366/0001-60</t>
  </si>
  <si>
    <t>019/2014</t>
  </si>
  <si>
    <t>00.758.756/0001-02</t>
  </si>
  <si>
    <t>107/2014</t>
  </si>
  <si>
    <t>Termo de Adesão nº 066/2014</t>
  </si>
  <si>
    <t>FEM II</t>
  </si>
  <si>
    <t>07.308.813/0001-92</t>
  </si>
  <si>
    <t>GL Empreendimentos Ltda</t>
  </si>
  <si>
    <t>TP 009/2014</t>
  </si>
  <si>
    <t>MINISTÉRIO DAS CIDADES</t>
  </si>
  <si>
    <t>03.265.219/0001-00</t>
  </si>
  <si>
    <t>JCR Construtora</t>
  </si>
  <si>
    <t>063/2014</t>
  </si>
  <si>
    <t>TP 008/2014</t>
  </si>
  <si>
    <t>Serviços do campo de futebol no Parque Euclides Dourado, localizado na Av. Júlio Brasileiro, neste município.</t>
  </si>
  <si>
    <t>053/2014</t>
  </si>
  <si>
    <t>TP 004/2014</t>
  </si>
  <si>
    <t>017/2014</t>
  </si>
  <si>
    <t>13.347.399/0001-23</t>
  </si>
  <si>
    <t>035/2015</t>
  </si>
  <si>
    <t>3.3.90.39</t>
  </si>
  <si>
    <t>018/2015</t>
  </si>
  <si>
    <t>025/2015</t>
  </si>
  <si>
    <t>098/2014</t>
  </si>
  <si>
    <t>TP 003/2014</t>
  </si>
  <si>
    <t>015/2015</t>
  </si>
  <si>
    <t>143/2015</t>
  </si>
  <si>
    <t>TP 005/2015</t>
  </si>
  <si>
    <t>TP 004/2015</t>
  </si>
  <si>
    <t>CC 014/2015</t>
  </si>
  <si>
    <t>Serviços de Construção do Novo Colégio Municipal de Garanhuns - Pe Agobar Valença, bairro Heliópolis, neste município.</t>
  </si>
  <si>
    <t>13.024.106/0001-77</t>
  </si>
  <si>
    <t>P&amp;A Construções Ltda</t>
  </si>
  <si>
    <t>140/2015</t>
  </si>
  <si>
    <t>TP 003/2015</t>
  </si>
  <si>
    <t>Serviços de recomposição de erosão bairro Francisco Figueira, neste município.</t>
  </si>
  <si>
    <t>17.696.801/0001-36</t>
  </si>
  <si>
    <t>J Benevides da Silva Eireli  - EPP</t>
  </si>
  <si>
    <t>107/2015</t>
  </si>
  <si>
    <t>037/2015</t>
  </si>
  <si>
    <t>CC 011/2015</t>
  </si>
  <si>
    <t>Serviços de construção de Centro de Iniciação ao Esporte (CIE), no Bairro Severiano de Moraes Filho, neste município.</t>
  </si>
  <si>
    <t>425962-32</t>
  </si>
  <si>
    <t>MINISTÉRIO DO ESPORTE</t>
  </si>
  <si>
    <t>24.127.557/0001-56</t>
  </si>
  <si>
    <t>Monte Sinai  - Empreendimentos e Construções Ltda</t>
  </si>
  <si>
    <t>083/2015</t>
  </si>
  <si>
    <t>023/2016</t>
  </si>
  <si>
    <t>DL 005/2014</t>
  </si>
  <si>
    <t>Serviços de construção de Portal de acesso a cidade pela Av. Sátiro Ivo, na área de praça existente na confluência da Av. Sátiro Ivo com a BR 424 e Portal de acesso ao Cristo do Magano, que dá acesso ao atrativo turístico Cristo do Magano, localizado no ponto mais alto da cidade.</t>
  </si>
  <si>
    <t>780.232/2012</t>
  </si>
  <si>
    <t>MINISTÉRIO DO TURISMO</t>
  </si>
  <si>
    <t>104/2014</t>
  </si>
  <si>
    <t>024/2016</t>
  </si>
  <si>
    <t>CC 003/2016</t>
  </si>
  <si>
    <t>045/2016</t>
  </si>
  <si>
    <t>025/2016</t>
  </si>
  <si>
    <t>070/2014</t>
  </si>
  <si>
    <t>08.561.439/0001-03</t>
  </si>
  <si>
    <t>046/2016</t>
  </si>
  <si>
    <t>CC 001/2016</t>
  </si>
  <si>
    <t>17.830.564/0001-54</t>
  </si>
  <si>
    <t>048/2016</t>
  </si>
  <si>
    <t>062/2016</t>
  </si>
  <si>
    <t>CÂMARA MUNICIPAL</t>
  </si>
  <si>
    <t>014/2015</t>
  </si>
  <si>
    <t>Concluido</t>
  </si>
  <si>
    <t>CC005/2015</t>
  </si>
  <si>
    <t>04.393.361/0001-04</t>
  </si>
  <si>
    <t>001/2016</t>
  </si>
  <si>
    <t>-----</t>
  </si>
  <si>
    <t>44.90.51.00</t>
  </si>
  <si>
    <t>ANDAMENTO</t>
  </si>
  <si>
    <t>12.505.080/0001-16</t>
  </si>
  <si>
    <t>189/2015</t>
  </si>
  <si>
    <t>DISTRATADA</t>
  </si>
  <si>
    <t>188/2015</t>
  </si>
  <si>
    <t>07.977.116/0001-24</t>
  </si>
  <si>
    <t>095/2013</t>
  </si>
  <si>
    <t>089/2013</t>
  </si>
  <si>
    <t>GRANITO</t>
  </si>
  <si>
    <t>CONCLUIDA</t>
  </si>
  <si>
    <t>04.786.161/0001-03</t>
  </si>
  <si>
    <t>10.600.699/0001-84</t>
  </si>
  <si>
    <t>04.684.914/0001-70</t>
  </si>
  <si>
    <t>GRAVATÁ</t>
  </si>
  <si>
    <t>10.703.032/0001-07</t>
  </si>
  <si>
    <t>ROCHA ENGENHARIA E INCORPORAÇÕES LTDA EPP</t>
  </si>
  <si>
    <t>CONCLUÍDA</t>
  </si>
  <si>
    <t>90 DIAS</t>
  </si>
  <si>
    <t>TP013/2014</t>
  </si>
  <si>
    <t>CONTRATAÇÃO DE EMPRESA SOB FORMA DE EMPREITADA PARA REALIZAÇÃO DE OBRAS/SERVIÇOS DE ENGENHARIA, DESTINADO A REFORMA E AMPLIAÇÃO DAS USF´S - UNIDADE DE SAÚDE DA FAMÍLIA, LOCALIZADAS EM AVENCAS, URUÇU MIRIM, JUCÁ E ANA CAMINHA NO MUNICÍPIO DE GRAVATÁ - PE.</t>
  </si>
  <si>
    <t>10.569.363/0001-04</t>
  </si>
  <si>
    <t>CONSTRUTORA SOLO LTDA ME</t>
  </si>
  <si>
    <t>073/2014</t>
  </si>
  <si>
    <t>*</t>
  </si>
  <si>
    <t>PARALISADA</t>
  </si>
  <si>
    <t>TP009/2014</t>
  </si>
  <si>
    <t>02.072.733/0001-67</t>
  </si>
  <si>
    <t>TRENA CONTRUÇÕES LTDA</t>
  </si>
  <si>
    <t>067/2014</t>
  </si>
  <si>
    <t>120 DIAS</t>
  </si>
  <si>
    <t>3.3.90.39.00</t>
  </si>
  <si>
    <t>PAVIMENTAÇÃO DAS RUAS DO ENTORNO DO PARQUE MUNICIPAL DA CIDADE E RACAPEAMENTO ASFÁLTICO DE VIAS NA SEDE DO MUNICÍPIO DE GRAVATÁ</t>
  </si>
  <si>
    <t>746.231/2010</t>
  </si>
  <si>
    <t>MINISTÉRIO DO TURISMO - MTUR</t>
  </si>
  <si>
    <t>CONSTRUTORA ANCAR LTDA</t>
  </si>
  <si>
    <t>035/2012</t>
  </si>
  <si>
    <t>TP003/2012</t>
  </si>
  <si>
    <t>CONTRATAÇÃO DE EMPRESA DE ENGENHARIA PARA CONSTRUÇÃO DE UMA UNIDADE DE PRONTO ATENDIMENTO - UPA PORTE I NO MUNICÍPIO DE GRAVATÁ</t>
  </si>
  <si>
    <t>FERNANDES MACHADO ENGENHARIA E ARQUITETURA LTDA</t>
  </si>
  <si>
    <t>063/2012</t>
  </si>
  <si>
    <t>3.4.4.90.51</t>
  </si>
  <si>
    <t>006/2016</t>
  </si>
  <si>
    <t>EM ANDAMENTO</t>
  </si>
  <si>
    <t>CONTRATAÇÃO DE EMPRESA SOB FORMA DE EMPREITADA PARA REALIZAÇÃO DE OBRAS/SERVIÇOS DE ENGENHARIA, DESTINADO A PAVIMENTAÇÃO  GRANÍTICA COM MEIO FIO EM DIVERSAS RUAS DO MUNICÍPIO DE GRAVATÁ.</t>
  </si>
  <si>
    <t>SECRETARIA DE PLANEJAMENTO, ORÇAMENTO E GESTÃO DO ESTADO DE PERNAMBUCO (FUNDO ESTADUAL DE APOIO AOS MUNICIPIO -  FEM II)</t>
  </si>
  <si>
    <t>TRENA CONSTRUÇÕES LTDA</t>
  </si>
  <si>
    <t>047/2015</t>
  </si>
  <si>
    <t>_</t>
  </si>
  <si>
    <t>NÃO</t>
  </si>
  <si>
    <t>PERNAMBUCO</t>
  </si>
  <si>
    <t>08.064.693/0001-98</t>
  </si>
  <si>
    <t>058/2015</t>
  </si>
  <si>
    <t>4.4.90.51.01</t>
  </si>
  <si>
    <t>Em andamento</t>
  </si>
  <si>
    <t>Concorrência nº 003/2015</t>
  </si>
  <si>
    <t>Obras de conclusão do Edifício do Plenário da Assembleia Legislativa do Estado do Pernambuco</t>
  </si>
  <si>
    <t>13.031.257/0001-52</t>
  </si>
  <si>
    <t>Construtora CELI Ltda</t>
  </si>
  <si>
    <t>008/2016</t>
  </si>
  <si>
    <t>Pregão nº 006/2013</t>
  </si>
  <si>
    <t>Fornecimento e instalação de sistema de 05 (cinco) plataformas para o plenário da Assembleia Legislativa</t>
  </si>
  <si>
    <t>31.228.836/0001/71</t>
  </si>
  <si>
    <t>Ortobras Industria e comércio de Ortopedia Ltda</t>
  </si>
  <si>
    <t>036/2013</t>
  </si>
  <si>
    <t>030/2016</t>
  </si>
  <si>
    <t>Convite nº 009/2015</t>
  </si>
  <si>
    <t>002/2016</t>
  </si>
  <si>
    <t xml:space="preserve">- </t>
  </si>
  <si>
    <t>179/2012</t>
  </si>
  <si>
    <t>Em Andamento</t>
  </si>
  <si>
    <t>033/2014</t>
  </si>
  <si>
    <t>10.324.550/0001-10</t>
  </si>
  <si>
    <t>SECRETARIA DE AGRICULTURA DE PERNAMBUCO</t>
  </si>
  <si>
    <t>001/2016        Concorrência</t>
  </si>
  <si>
    <t xml:space="preserve">Construção da Primeira Etapa do Novo Curral de Gado de Tabira-PE             </t>
  </si>
  <si>
    <t>15.755.897/0001-30</t>
  </si>
  <si>
    <t>Construtora Jordara Ltda - EPP</t>
  </si>
  <si>
    <t>33/2016</t>
  </si>
  <si>
    <t>449051</t>
  </si>
  <si>
    <t>Paralizada</t>
  </si>
  <si>
    <t>054/2016</t>
  </si>
  <si>
    <t>031/2015</t>
  </si>
  <si>
    <t>Execução de Obras de Engenharia para Implantação de Sistemas Simplificados de Abastecimento de Água Para Consumo Humano.</t>
  </si>
  <si>
    <t>MI</t>
  </si>
  <si>
    <t>02.286.941/0001-69</t>
  </si>
  <si>
    <t>004/2015</t>
  </si>
  <si>
    <t>003/2015</t>
  </si>
  <si>
    <t>005/2015</t>
  </si>
  <si>
    <t xml:space="preserve">Concorrência 002/2013 </t>
  </si>
  <si>
    <t>782397/2013</t>
  </si>
  <si>
    <t>21.309.692/0001-24</t>
  </si>
  <si>
    <t>Consórcio Via Técnica / SCAVE / CPM CONSTRUTORA</t>
  </si>
  <si>
    <t>SECRETARIA DE CIENCIA,TECNOLOGIA E INOVAÇÃO</t>
  </si>
  <si>
    <t>Serviço de engenharia para execução de obras de ampliação e reforma estrutural predial com fornecimento de material da Escola Agrícola de Palmares no município de Palmares/PE</t>
  </si>
  <si>
    <t>658756/2009</t>
  </si>
  <si>
    <t>07.808.854/0001-48</t>
  </si>
  <si>
    <t>Construtora Régio - ME</t>
  </si>
  <si>
    <t>041/2014</t>
  </si>
  <si>
    <t>44.90.51.01</t>
  </si>
  <si>
    <t>Serviço de engenharia para execução de obras de ampliação e reforma estrutural predial com fornecimento de material da Escola Agrícola Justulino Ferreira Gomes no município de Bom Jardim/PE</t>
  </si>
  <si>
    <t>01.666.477/0001-73</t>
  </si>
  <si>
    <t>039/2014</t>
  </si>
  <si>
    <t>07.534.317/0001-57</t>
  </si>
  <si>
    <t>69.968.238/0001-01</t>
  </si>
  <si>
    <t>038/2014</t>
  </si>
  <si>
    <t>00.749.205/0001-74</t>
  </si>
  <si>
    <t>00.539.634/0001-17</t>
  </si>
  <si>
    <t>013/2016</t>
  </si>
  <si>
    <t>021/2016</t>
  </si>
  <si>
    <t>022/2016</t>
  </si>
  <si>
    <t>SECRETARIA DE PLANEJAMENTO E GESTÃO DE PERNAMBUCO</t>
  </si>
  <si>
    <t>SECRETARIA DE SAUDE DE PERNAMBUCO</t>
  </si>
  <si>
    <t>CC011/2012</t>
  </si>
  <si>
    <t>Serviços de Engenharia especializada em construção civil para para elaboração do projeto executivo, execução das obras e serviços de engenharia para construção da Unidade Pernambucana de Atenção Especializada - UPAE PALMARES</t>
  </si>
  <si>
    <t>00.721.895/0001-53</t>
  </si>
  <si>
    <t>NB CONSTRUÇÕES LTDA</t>
  </si>
  <si>
    <t>394/2013</t>
  </si>
  <si>
    <t>08 meses</t>
  </si>
  <si>
    <t>19/05/2015
(Paralisação)</t>
  </si>
  <si>
    <t>MINISTÉRIO DA SAÚDE</t>
  </si>
  <si>
    <t>08.059.768/0001-42</t>
  </si>
  <si>
    <t>CINZEL ENGENHARIA LTDA</t>
  </si>
  <si>
    <t>055/2013</t>
  </si>
  <si>
    <t>SERV. DE REFORMA E AMPLIAÇÃO DO HOSPITAL DO CÂNCER EM RECIFE/PE</t>
  </si>
  <si>
    <t>08.059.768/0001-43</t>
  </si>
  <si>
    <t>174/2013</t>
  </si>
  <si>
    <t>04/05/2015 (paralisação)</t>
  </si>
  <si>
    <t>CC 003/2012</t>
  </si>
  <si>
    <t>Serviços de Engenharia especializada em construção civil para reforma e ampliação - Hospital Barão de Lucena em Recife/PE.</t>
  </si>
  <si>
    <t>11.542.750/0001-01</t>
  </si>
  <si>
    <t>TRÓPICOS ENG. COM. LTDA.</t>
  </si>
  <si>
    <t>05/01/2015 (Paralisação)</t>
  </si>
  <si>
    <t>CC 014/2012</t>
  </si>
  <si>
    <t>Serviços de engenharia especializada em construção civil para elaboração do projeto executivo, execução das obras e serviços de engenharia para reforma e ampliação do Hospital Agamenon Magalhães, em Recife/PE.</t>
  </si>
  <si>
    <t>1001658-26/2012</t>
  </si>
  <si>
    <t>05.275.604/0001-64</t>
  </si>
  <si>
    <t>WALTER LOPES ENG. LTDA.</t>
  </si>
  <si>
    <t>208/2013</t>
  </si>
  <si>
    <t>31/07/2015 (Paralisação)</t>
  </si>
  <si>
    <t>NB CONSTRUÇÕES LTDA.</t>
  </si>
  <si>
    <t>CC 016/2012</t>
  </si>
  <si>
    <t>REFORMA E AMPLIAÇÃO DO HOSPITAL GERAL DE AREIAS (CENTRO DO IDOSO), EM RECIFE/PE.</t>
  </si>
  <si>
    <t>0366038-71/2011</t>
  </si>
  <si>
    <t>10.412.294/0001-12</t>
  </si>
  <si>
    <t>ESCO - EMPRESA DE SERVIÇOS E CONST. LTDA</t>
  </si>
  <si>
    <t>057/2013</t>
  </si>
  <si>
    <t>31/03/2014 (Paralisação)</t>
  </si>
  <si>
    <t>CC 018/2012</t>
  </si>
  <si>
    <t>Serviços de engenharia especializados em construção civil  para Reforma e Ampliação do Hospital Getúlio Vargas  - RECIFE/PE.</t>
  </si>
  <si>
    <t>0374109-96/2011</t>
  </si>
  <si>
    <t>02.731.208/0001-06</t>
  </si>
  <si>
    <t>JACIL EMPREENDIMENTOS LTDA</t>
  </si>
  <si>
    <t>050/2013</t>
  </si>
  <si>
    <t>VIGÊNCIA ENCERRADA</t>
  </si>
  <si>
    <t>CC 003/2013</t>
  </si>
  <si>
    <t>Serviços de Engenharia especializada em construção civil para para elaboração do projeto executivo, execução das obras e serviços de engenharia para construção da Unidade Pernambucana de Atenção Especializada - UPAE Escada/PE</t>
  </si>
  <si>
    <t>363/2013</t>
  </si>
  <si>
    <t>CC 004/2013</t>
  </si>
  <si>
    <t>Serviços de Engenharia especializada em construção civil para para elaboração do projeto executivo, execução das obras e serviços de engenharia para construção da Unidade Pernambucana de Atenção Especializada - UPAE Carpina/PE</t>
  </si>
  <si>
    <t>362/2013</t>
  </si>
  <si>
    <t>CC003/2012</t>
  </si>
  <si>
    <t>Serviços de Reforma no Hospital São Sebastião, para implantação de leitos de internação e ambulatório.</t>
  </si>
  <si>
    <t>02.908.931/0001-18</t>
  </si>
  <si>
    <t>CONSTRUTORA SBM LTDA</t>
  </si>
  <si>
    <t>333/2012</t>
  </si>
  <si>
    <t>03/11/2014
(Paralisação)</t>
  </si>
  <si>
    <t>12.285.441/0001-66</t>
  </si>
  <si>
    <t>043/2013</t>
  </si>
  <si>
    <t>08.156.424/0001-51</t>
  </si>
  <si>
    <t>MAIA MELO ENGENHARIA LTDA</t>
  </si>
  <si>
    <t>7 meses</t>
  </si>
  <si>
    <t>Proc CPLS nº 668/12
Conc nº 004/12</t>
  </si>
  <si>
    <t>Obras no Hospital Otávio de Freitas: Reforma com Ampliação do Ambulatório de MDR, Reforma dos Isolamentos de MDR e da Enfermaria de Tisiologia(PROJETO SANAR).</t>
  </si>
  <si>
    <t>081/2013</t>
  </si>
  <si>
    <t>Paralisação</t>
  </si>
  <si>
    <t>07.468.034/0001-54</t>
  </si>
  <si>
    <t>CONSTRUTORA ASSIS LOPES LTDA</t>
  </si>
  <si>
    <t>027/2016</t>
  </si>
  <si>
    <t>098/2016</t>
  </si>
  <si>
    <t>SECRETARIA DE TRANSPORTE DE PERNAMBUCO</t>
  </si>
  <si>
    <t>Tomada de Preços 2013.019.2.007-14</t>
  </si>
  <si>
    <t>SERVIÇOS DE PAVIMENTAÇÃO EM PARALELEPÍPEDOS GRANÍTICOS NA AVENIDA TEREZA MENDONÇA NO LOTEAMENTO TEREZA MENDONÇA NO MUNICÍPIO DE BELO JARDIM /PE</t>
  </si>
  <si>
    <t>07.353.785/0001-25</t>
  </si>
  <si>
    <t>Construtora Inhumas Ltda</t>
  </si>
  <si>
    <t>CONCORRÊNCIA PÚBLICA 008/2015</t>
  </si>
  <si>
    <t>CONSTRUÇÕES DE 05 PASSAGENS MOLHADAS SOBRE OS RIACHOS DOS MAÇAIS, CABANA, GAMA, JANICO E MIRADOR NO MUNICÍPIO DE SERRA TALHADA-PE</t>
  </si>
  <si>
    <t>JCL ENGENHARIA LTDA</t>
  </si>
  <si>
    <t>17/2015</t>
  </si>
  <si>
    <t>011/2015</t>
  </si>
  <si>
    <t>17.499.926/0001-76</t>
  </si>
  <si>
    <t>009/2015</t>
  </si>
  <si>
    <t>010/2016</t>
  </si>
  <si>
    <t>TOMADA DE PREÇO A Nº 008/2014</t>
  </si>
  <si>
    <t>PAVIMENTAÇÃO EM PARALELEPIPEDO GRANITICO EM DIVERSAS RUAS DO MUNICIPIO DE CHÃ DE ALEGRIA - PE</t>
  </si>
  <si>
    <t>00.654.704/0001-88</t>
  </si>
  <si>
    <t>ABL Engenharia Comercio e Representação Ltda</t>
  </si>
  <si>
    <t>004/2016</t>
  </si>
  <si>
    <t>em andamento</t>
  </si>
  <si>
    <t>005/2016</t>
  </si>
  <si>
    <t>11.695.493/0001-48</t>
  </si>
  <si>
    <t>02.173.244/0001-00</t>
  </si>
  <si>
    <t>007/2016</t>
  </si>
  <si>
    <t>08.073.264/0001-87</t>
  </si>
  <si>
    <t>011/2016</t>
  </si>
  <si>
    <t>TOMADA DE PREÇO Nº 1007/2016</t>
  </si>
  <si>
    <t>RECAPEMANETO ASFALTICO DE VARIAS RUAS NO MUNICIPIO DE FLORESTA - PE</t>
  </si>
  <si>
    <t>014/2016</t>
  </si>
  <si>
    <t>Obra 100% concluida, aguardando recurso para pagamento</t>
  </si>
  <si>
    <t>TOMADA DE PREÇO Nº 015/2016</t>
  </si>
  <si>
    <t>PAVIMENTAÇÃO EM PARALELEPIPEDO GRANITICO, BAIRRO GONZAGÃO NO MUNICIPIO DE EXU - PE</t>
  </si>
  <si>
    <t>17.246.152/0001-71</t>
  </si>
  <si>
    <t>RM Construção Ltda</t>
  </si>
  <si>
    <t>015/2016</t>
  </si>
  <si>
    <t>SECRETARIA DE TURISMO ESPORTES E LAZER DE PERNAMBUCO</t>
  </si>
  <si>
    <t>CONCORRÊNCIA NACIONAL Nº 002/2009</t>
  </si>
  <si>
    <t>PAVIMENTAÇÃO DE VIAS DE ACESSO A SEMARIA JAGUARIBE ABREU E LIMA-PE</t>
  </si>
  <si>
    <t>245.292-06/2007</t>
  </si>
  <si>
    <t>MTUR/CAIXA</t>
  </si>
  <si>
    <t>CNPJ Nº 12.854.865/0001-02</t>
  </si>
  <si>
    <t>CAEL -COELHO DE ANDRADE ENG. LTDA</t>
  </si>
  <si>
    <t>003/2009</t>
  </si>
  <si>
    <t>5 MESES</t>
  </si>
  <si>
    <t>31/12/2013
(CONTRATO DE REPASSE)
INTERVINIENTE EXECUTOR</t>
  </si>
  <si>
    <t>44.90</t>
  </si>
  <si>
    <t>CONCLUÍDA COM REDUÇÃO DE METAS</t>
  </si>
  <si>
    <t>PROCESSO LICITATÓRIO Nº 014/2011 - CONCORRENCIA NACIONAL Nº 003/2011</t>
  </si>
  <si>
    <t xml:space="preserve">CONTRATAÇÃO DE EMPRESA DE ENGENHARIA PARA A IMPLANTAÇÃO E PAVIMENTAÇÃO DAS OBRAS REMANESCENTES DA PE - 087 E VIAS DE ACESSO, TRECHO COMPREENDIDO ENTRE A CIDADE DE GRAVATÁ E O DISTRITO DE MANDACARÚ, NO ESTADO DE PERNAMBUCO/PE. </t>
  </si>
  <si>
    <t>245.474-02/2007</t>
  </si>
  <si>
    <t>CNPJ Nº 63.362.347/0001-02</t>
  </si>
  <si>
    <t>CONTRUTORA G &amp; F LTDA</t>
  </si>
  <si>
    <t>17/2012</t>
  </si>
  <si>
    <t>12 MESES</t>
  </si>
  <si>
    <t>*********</t>
  </si>
  <si>
    <t>CONTRATO ENCERRADO</t>
  </si>
  <si>
    <t>*******</t>
  </si>
  <si>
    <t>******</t>
  </si>
  <si>
    <t>********</t>
  </si>
  <si>
    <t>024/2015</t>
  </si>
  <si>
    <t>PROCESSO LICITATÓRIO Nº 013/2009 - TOMADA DE PREÇO Nº 006/2009</t>
  </si>
  <si>
    <t>CONTRATAÇÃO DE EMPRESA DE ENGENHARIA PARA A EXECUÇÃO DAS OBRAS DO CENTRO DE ARTESANATO - VALE DO CAPIBARIBE, NO MUNICÍPIO DE LIMOEIRO/PE.</t>
  </si>
  <si>
    <t>279.283-08/2008</t>
  </si>
  <si>
    <t>CNPJ Nº  02.199.283/0001-78</t>
  </si>
  <si>
    <t xml:space="preserve">EMPERTEC - Empresa Pernambucana técnica de engenharia e Comercio Ltda.   </t>
  </si>
  <si>
    <t>009/2010</t>
  </si>
  <si>
    <t>6 MESES</t>
  </si>
  <si>
    <t>8 MESES</t>
  </si>
  <si>
    <t>PROCESSO LICITATÓRIO Nº 001/2011 - TOMADA DE PREÇO Nº     001/2011</t>
  </si>
  <si>
    <t>CONTRATAÇÃO DE EMPRESA DE ENGENHARIA PARA CONSTRUÇÃO DA ESCADARIA DE ACESSO DOS ROMEIROS À ESTÁTUA DO CRISTO SALVADOR, NO MUNICÍPIO DE SOLIDÃO, EM PERNAMBUCO.</t>
  </si>
  <si>
    <t>309.243-63/2009</t>
  </si>
  <si>
    <t>CNPJ Nº  08.064.592/0001-17</t>
  </si>
  <si>
    <t xml:space="preserve">CONSTRUTORA DUARTE LUNA LTDA                </t>
  </si>
  <si>
    <t>016/2011</t>
  </si>
  <si>
    <t>CONTRATO CANCELADO</t>
  </si>
  <si>
    <t>023/2015</t>
  </si>
  <si>
    <t>****</t>
  </si>
  <si>
    <t>PROCESSO LICITATÓRIO Nº 008/2013 - TOMADA DE PREÇO Nº 002/2013</t>
  </si>
  <si>
    <t>MELHORIAS URBANISTICAS BREJO DA MADRE DE DEUS</t>
  </si>
  <si>
    <t>375.545-03/2011</t>
  </si>
  <si>
    <t>CNPJ Nº 02.105.940/0001-70</t>
  </si>
  <si>
    <t>T. BARRETO CONSTRUÇÕES LTDA</t>
  </si>
  <si>
    <t>011/2013</t>
  </si>
  <si>
    <t>008/2014</t>
  </si>
  <si>
    <t>006/2014</t>
  </si>
  <si>
    <t>PROCESSO LICITATÓRIO Nº 048/2013 - CONCORRENCIA NACIONAL 
Nº 006/2013</t>
  </si>
  <si>
    <t>Execução das obras de acessibilidade aos Atrativos Turísticos nas Cidades de Recife e Olinda, no Estado de Pernambuco, Rotas: Acessível 01 (Rua do Bom Jesus, Marco Zero e Torre Malakoff); Acessível 02 (Praça da República e Casa da Cultura / Estação Central); Acessível 03 (Mercado de São José e Pátio de São Paulo); Acessível 04 (Orla de Boa Viagem e Parque Dona Lindú); Acessível 05 (Terminal Integrado de Passageiros - TIP) Acessível 06 (Palácio dos Governadores, Mercado da Ribeira e Largo do Amparo).</t>
  </si>
  <si>
    <t>385.287-95/2012</t>
  </si>
  <si>
    <t>CNPJ Nº 
05.356.134/0001-21</t>
  </si>
  <si>
    <t>TEP  CONSTRUTORA LTDA   (Rota - 07)</t>
  </si>
  <si>
    <t>049/2013</t>
  </si>
  <si>
    <t>CNPJ Nº 00.749.205/0001-74</t>
  </si>
  <si>
    <t>Construtora Ingazeira Ltda.    (Rota 01, 02, 03)</t>
  </si>
  <si>
    <t>PROCESSO LICITATÓRIO Nº 001/2014 - CONCORRENCIA NACIONAL Nº 001/2014</t>
  </si>
  <si>
    <t>1ª ETAPA DA PAV. E DRENAGEM DA VIA DE ACESSO À PRAIA - MURO ALTO/IPOJUCA</t>
  </si>
  <si>
    <t>388.864-41/2012</t>
  </si>
  <si>
    <t>CNPJ Nº 22.192.371/0001-55</t>
  </si>
  <si>
    <t>ROCHA ENGª. E INCORPORAÇÕES LTDA.</t>
  </si>
  <si>
    <t>007/2014</t>
  </si>
  <si>
    <t>*****</t>
  </si>
  <si>
    <t>PROCESSO LICITATÓRIO Nº   002/2015 - TOMADA DE PREÇO Nº    001/2015</t>
  </si>
  <si>
    <t>Revitalização de Praças na região metropolitana do Recife, no Estado de Pernambuco.</t>
  </si>
  <si>
    <t>1006.458-25/2013</t>
  </si>
  <si>
    <t>Construtora Ingazeira Ltda.</t>
  </si>
  <si>
    <t>PROCESSO LICITATÓRIO Nº   006/2015 - TOMADA DE PREÇO Nº   003/2015</t>
  </si>
  <si>
    <t>Pavimentação em pedras graníticas nas ruas Eliseu G. do Amaral, Urbano de Carvalho e Av. José Torres Araquan, Mirandiba - PE.</t>
  </si>
  <si>
    <t>1009.013-23/2013</t>
  </si>
  <si>
    <t>CNPJ Nº 00.654.704/0001-88</t>
  </si>
  <si>
    <t>ABL Engenharia Comércio e Representações Ltda.</t>
  </si>
  <si>
    <t>3º Termo Aditivo (Em andamento).</t>
  </si>
  <si>
    <t>031/2016</t>
  </si>
  <si>
    <t>056/2016</t>
  </si>
  <si>
    <t>3 MESES</t>
  </si>
  <si>
    <t>PROCESSO LICITATÓRIO Nº 004/2011 - TOMADA DE PREÇO Nº 004/2011</t>
  </si>
  <si>
    <t>CONSTRUÇÃO DA PRAÇA JAIME COELHO BUENOS AIRES/PE</t>
  </si>
  <si>
    <t>245.407-89/2007</t>
  </si>
  <si>
    <t>021/2011</t>
  </si>
  <si>
    <t>CONTRATO DE REPASSE EXTINTO SEM DESEMBOLSO.</t>
  </si>
  <si>
    <t>TOMADA DE PREÇO Nº  006/2014</t>
  </si>
  <si>
    <t>TEP  CONSTRUTORA LTDA</t>
  </si>
  <si>
    <t>AGUARDANDO ORÇAMENTO</t>
  </si>
  <si>
    <t>028/2015</t>
  </si>
  <si>
    <t>042/2015</t>
  </si>
  <si>
    <t>011/2014</t>
  </si>
  <si>
    <t>003/2013</t>
  </si>
  <si>
    <t>001/2014</t>
  </si>
  <si>
    <t>OBRA CONCLUÍDA</t>
  </si>
  <si>
    <t>012/2014</t>
  </si>
  <si>
    <t>037/2013</t>
  </si>
  <si>
    <t>CNPJ/MF: 07.408.234/0001-11</t>
  </si>
  <si>
    <t>L &amp; R Santos Construções Ltda.</t>
  </si>
  <si>
    <t>051/2016</t>
  </si>
  <si>
    <t>CN 002/2013</t>
  </si>
  <si>
    <t>Requalificação da Rodovia PE – 035, Trecho: Entroncamento BR 101 (Igarassu) – Itapissuma – Itamaracá, Numa Extensão de 18Km, Constando de Restauração de Pavimentação, Drenagem, Sinalização Horizontal e Vertical.</t>
  </si>
  <si>
    <t>Contrato de repasse
774642/12</t>
  </si>
  <si>
    <t>Ministério do Turismo/Caixa E. Federal - SETUR</t>
  </si>
  <si>
    <t xml:space="preserve">Construtora Ancar LTDA. </t>
  </si>
  <si>
    <t>4.490.51</t>
  </si>
  <si>
    <t>SECRETARIA EXECUTIVA DE RESSOCIALIZAÇÃO DE PERNAMBUCO</t>
  </si>
  <si>
    <t>CC-001/2013</t>
  </si>
  <si>
    <t>MJ/CEF</t>
  </si>
  <si>
    <t>20.344.126/0001-90</t>
  </si>
  <si>
    <t>Consórcio de sociedades Quality/Processo</t>
  </si>
  <si>
    <t>032/2013</t>
  </si>
  <si>
    <t>4.490.51(obra)</t>
  </si>
  <si>
    <t>Construção da Cadeia Pública Feminina II de Araçoiaba-PE. (LOTE I)</t>
  </si>
  <si>
    <t>1002048-94</t>
  </si>
  <si>
    <t>20.344.227/0001-61</t>
  </si>
  <si>
    <t>033/2013</t>
  </si>
  <si>
    <t>CC-003/2013</t>
  </si>
  <si>
    <t>Construção da Cadeia Pública Masculina III de Araçoiaba-PE. (LOTE III)</t>
  </si>
  <si>
    <t>1002052-77</t>
  </si>
  <si>
    <t>Cinzel Engenharia LTDA</t>
  </si>
  <si>
    <t>034/2013</t>
  </si>
  <si>
    <t>Construção da Cadeia Pública Masculina IV de Araçoiaba-PE. (LOTE III)</t>
  </si>
  <si>
    <t>1002051-52</t>
  </si>
  <si>
    <t>23.586.346.24 (reforma)</t>
  </si>
  <si>
    <t>CONCLUÍDO</t>
  </si>
  <si>
    <t>00.392.213/0001-06</t>
  </si>
  <si>
    <t>PROCESSO ENGENHARIA LTDA</t>
  </si>
  <si>
    <t>029/2015</t>
  </si>
  <si>
    <t>PARALISADO</t>
  </si>
  <si>
    <t>002/2012</t>
  </si>
  <si>
    <t>017/2013</t>
  </si>
  <si>
    <t>TRIBUNAL DE JUSTIÇA DE PERNAMBUCO</t>
  </si>
  <si>
    <t xml:space="preserve">ANDAMENTO </t>
  </si>
  <si>
    <t xml:space="preserve">CONCLUIDO </t>
  </si>
  <si>
    <t xml:space="preserve">4.4.90.51 </t>
  </si>
  <si>
    <t>049/2016</t>
  </si>
  <si>
    <t>067/2016</t>
  </si>
  <si>
    <t>10.978.682/0001-65</t>
  </si>
  <si>
    <t>104/2016</t>
  </si>
  <si>
    <t>03.561.128/0001-12</t>
  </si>
  <si>
    <t xml:space="preserve">INACABADA </t>
  </si>
  <si>
    <t>06945546/0001-00</t>
  </si>
  <si>
    <t>CONTRUTORA POTTENCIAL LTDA</t>
  </si>
  <si>
    <t>003/2014</t>
  </si>
  <si>
    <t>CONCORRÊNCIA Nº002/2013</t>
  </si>
  <si>
    <t>CONSTRUÇÃO  FORUM  DA COMARCA  DE PAULISTA</t>
  </si>
  <si>
    <t>004/2014</t>
  </si>
  <si>
    <t>UNIVERSIDADE DE PERNAMBUCO</t>
  </si>
  <si>
    <t>14.949.489/0001-57</t>
  </si>
  <si>
    <t>29/2014</t>
  </si>
  <si>
    <t>12.020.437/0001-76</t>
  </si>
  <si>
    <t>União SPM-PR</t>
  </si>
  <si>
    <t>022/2013</t>
  </si>
  <si>
    <t>SECRETARIA DE DEFESA SOCIAL DE PERNAMBUCO</t>
  </si>
  <si>
    <t>INACABADA</t>
  </si>
  <si>
    <t>02.325.995/0001-96</t>
  </si>
  <si>
    <t>Quality Empreendimentos Ltda</t>
  </si>
  <si>
    <t>SECRETARIA DE DESENVOLVILMENTO SOCIAL , CRIANÇA E JUVENTUDE DE PERNAMBUCO</t>
  </si>
  <si>
    <t>WALTER LOPES ENGENHARIA LTDA</t>
  </si>
  <si>
    <t>EM EXECUÇÃO</t>
  </si>
  <si>
    <t>Contratação de empresa especializada em construção civil para continuidade e conclusão das obras e serviços de engenharia da construção do CASE - Centro de Atendimento Sócio educativo de Arcoverde - PE - CASE ARCOVERDE</t>
  </si>
  <si>
    <t>CONSÓRCIO  W.LOPES E SBM</t>
  </si>
  <si>
    <t>001/2014-SCJ</t>
  </si>
  <si>
    <t>017/2016</t>
  </si>
  <si>
    <t>00.401.969/0001-74</t>
  </si>
  <si>
    <t>QUALITY EMPREENDIMENTOS LTDA</t>
  </si>
  <si>
    <t>052/2014-SCJ</t>
  </si>
  <si>
    <t>NICONSTROL - NIVALDO CONSTRUÇÕES LTDA</t>
  </si>
  <si>
    <t>SECRETARIA DE EDUCAÇÃO DE PERNAMBUCO</t>
  </si>
  <si>
    <t>700086/2008</t>
  </si>
  <si>
    <t>04.739.863/0001-36</t>
  </si>
  <si>
    <t>449051 (Obras)</t>
  </si>
  <si>
    <t>04.856.454/0001-10</t>
  </si>
  <si>
    <t>03.930.312/0001-92</t>
  </si>
  <si>
    <t>04.177.700/0001-07</t>
  </si>
  <si>
    <t>05.670.659/0001-79</t>
  </si>
  <si>
    <t>18.259.511/0001-98</t>
  </si>
  <si>
    <t>701591/2011</t>
  </si>
  <si>
    <t>03.446.513/0001-19</t>
  </si>
  <si>
    <t>10281/2013</t>
  </si>
  <si>
    <t>12.574.539/0001-33</t>
  </si>
  <si>
    <t>10.996.627/0001-06</t>
  </si>
  <si>
    <t>07.408.234/0001-11</t>
  </si>
  <si>
    <t>202442/2011 203583/2012 203713/2012 203595/2012 203691/2012</t>
  </si>
  <si>
    <t>03.951.168/0001-70</t>
  </si>
  <si>
    <t>NE Construções e Serviços de Obras Civis EIRELI.</t>
  </si>
  <si>
    <t>CONSTRUTORA FAELLA LTDA</t>
  </si>
  <si>
    <t>08.100.434/0001-75</t>
  </si>
  <si>
    <t>10.626.617/0001-70</t>
  </si>
  <si>
    <t>Concorrência Nacional nº 014/2016</t>
  </si>
  <si>
    <t>339039 (Serviços)</t>
  </si>
  <si>
    <t>Rescindido</t>
  </si>
  <si>
    <t>11.523.068/0001-71</t>
  </si>
  <si>
    <t>00.558.943/0001-34</t>
  </si>
  <si>
    <t>05.205.071/0001-44</t>
  </si>
  <si>
    <t>41.203.514/0001-21</t>
  </si>
  <si>
    <t>05.008.316/0001-43</t>
  </si>
  <si>
    <t>NÃO SE APLICA</t>
  </si>
  <si>
    <t>concluída</t>
  </si>
  <si>
    <t>04.491.523/0001-39</t>
  </si>
  <si>
    <t>35.597.061/0001-62</t>
  </si>
  <si>
    <t>10.897.444/0001-25</t>
  </si>
  <si>
    <t>CONSTRUTORA JMT LTDA</t>
  </si>
  <si>
    <t>053/2016</t>
  </si>
  <si>
    <t>Fonte 103 – OPERAÇÕES DE CRÉDITO (Estadual)</t>
  </si>
  <si>
    <t>055/2016</t>
  </si>
  <si>
    <t>Fonte 123 – FECSEC (Fundo Especial de Combate às Situações de Emergência e Calamidades)</t>
  </si>
  <si>
    <t>07.157.925/0001-90</t>
  </si>
  <si>
    <t>063/2016</t>
  </si>
  <si>
    <t>064/2016</t>
  </si>
  <si>
    <t>065/2016</t>
  </si>
  <si>
    <t>066/2016</t>
  </si>
  <si>
    <t>070/2016</t>
  </si>
  <si>
    <t>072/2016</t>
  </si>
  <si>
    <t>08.307.543/0001-68</t>
  </si>
  <si>
    <t>OCTAGON EMPREENDIMENTOS</t>
  </si>
  <si>
    <t>077/2016</t>
  </si>
  <si>
    <t>SECRETARIA EXECUTIVA DE RESCURSOS HIDRICOS E ENERGETICOS DE PERNAMBUCO</t>
  </si>
  <si>
    <t>FUNASA</t>
  </si>
  <si>
    <t>70.073.275/0001-30</t>
  </si>
  <si>
    <t>006/2010</t>
  </si>
  <si>
    <t>CEF</t>
  </si>
  <si>
    <t>35.539.915/0001-54</t>
  </si>
  <si>
    <t>015/2013</t>
  </si>
  <si>
    <t>03.205.589/0001-52</t>
  </si>
  <si>
    <t>ACQUAPURA LTDA – EPP.</t>
  </si>
  <si>
    <t>008/2015</t>
  </si>
  <si>
    <t>007/2015</t>
  </si>
  <si>
    <t>MINISTERIO DA INTEGRAÇÃO NACIONAL</t>
  </si>
  <si>
    <t>00.338.885/0001-33</t>
  </si>
  <si>
    <t>NOVATEC CONSTRUÇÕES E EMPREENDIMENTOS LTDA</t>
  </si>
  <si>
    <t>Paralisada</t>
  </si>
  <si>
    <t>Inacabada</t>
  </si>
  <si>
    <t>001/2012</t>
  </si>
  <si>
    <t>010/2013</t>
  </si>
  <si>
    <t>4.4.90.52</t>
  </si>
  <si>
    <t>013/2015</t>
  </si>
  <si>
    <t>002/2014</t>
  </si>
  <si>
    <t>005/2014</t>
  </si>
  <si>
    <t>Construção de uma Quadra Poliesportiva descoberta no Município de Salgueiro-PE.</t>
  </si>
  <si>
    <t>0262.915-89/2008</t>
  </si>
  <si>
    <t>ME/CAIXA</t>
  </si>
  <si>
    <t xml:space="preserve">Implantação e Modernização de Infra-estrutura para Esporte Recreativo e de Lazer - Paudalho - PE (Guadalajara) </t>
  </si>
  <si>
    <t>0264.754-88/2008</t>
  </si>
  <si>
    <t>CNPJ Nº 00.392.213/0001-06</t>
  </si>
  <si>
    <t>Processo Engenharia</t>
  </si>
  <si>
    <t>011/2010</t>
  </si>
  <si>
    <t>030/2013</t>
  </si>
  <si>
    <t>010/2010</t>
  </si>
  <si>
    <t>018/2013</t>
  </si>
  <si>
    <t>019/2013</t>
  </si>
  <si>
    <t>Processo Licitatório nº 016/2011 - Tomada de Preços nº 002/2011</t>
  </si>
  <si>
    <t>Execução das obras de complementação da construção de uma PRAÇA DA JUVENTUDE, no Bairro de João de Deus, no Município de Petrolina/PE.</t>
  </si>
  <si>
    <t>0311.810-73/2009</t>
  </si>
  <si>
    <t>Processo Licitatório nº 005/2014-Tomada de Preço      001/2014</t>
  </si>
  <si>
    <t>Adequação do Campo de Futebol e Construção de uma quadra Poliesportiva no Município de Ribeirão.</t>
  </si>
  <si>
    <t>1004.966-88/2013</t>
  </si>
  <si>
    <t xml:space="preserve">Construtora Ingazeira Ltda. </t>
  </si>
  <si>
    <t>Processo Licitatório nº 006/2014 -Tomada de Preço 002/2014</t>
  </si>
  <si>
    <t>Adequação do Campo de Futebol no Município de São Joaquim do Monte-PE.</t>
  </si>
  <si>
    <t>1008.378-46/2013</t>
  </si>
  <si>
    <t>CNPJ Nº 15.088.207/0001-37</t>
  </si>
  <si>
    <t>S. A. Construtora Ltda. - ME</t>
  </si>
  <si>
    <t>013/2014</t>
  </si>
  <si>
    <t>Processo Licitatório nº 421.2016.VIII.CC.001.SETUREL, Concorrência Pública nº 001/2016</t>
  </si>
  <si>
    <t xml:space="preserve">Revitalização do Centro de Esportes, Lazer e Cultura Alberto Santos Dumont. </t>
  </si>
  <si>
    <t xml:space="preserve">1026.274-52/2015 </t>
  </si>
  <si>
    <t>___</t>
  </si>
  <si>
    <t>04.307.535/0001-60</t>
  </si>
  <si>
    <t>CC nº  012/2011                     Processo  Administrativo nº 066/2011</t>
  </si>
  <si>
    <t>Contratação de empresa para prestação de serviços especializados de engenharia para regularização e melhoria de diversas ruas não pavimentadas localizadas nas regionais administrativas do município de Jaboatão - Lote 02.</t>
  </si>
  <si>
    <t>006/2012</t>
  </si>
  <si>
    <t>01.346.561/0001-00</t>
  </si>
  <si>
    <t>VASCONCELOS E SANTOS LTDA.</t>
  </si>
  <si>
    <t>025/2014</t>
  </si>
  <si>
    <t>02.199.283/0001-78</t>
  </si>
  <si>
    <t>41.116.138/0001-38</t>
  </si>
  <si>
    <t>REAL ENERGY LTDA</t>
  </si>
  <si>
    <t>CC nº 005/2014</t>
  </si>
  <si>
    <t>Contração de empresa especializada de engenharia para implantação de luminárias e requalificação de grandes corredores do sistema de iluminação pública do município do Jaboatão dos Guararapes, incluindo, fornecimento de materiais e equipamentos.</t>
  </si>
  <si>
    <t xml:space="preserve">Pregão Presencial 
Nº 002/2015 – Processo: 007/2015
</t>
  </si>
  <si>
    <t>03.446513/0001-19</t>
  </si>
  <si>
    <t>UNIVERSO EMPREENDIMENTOS – EIRELLI</t>
  </si>
  <si>
    <t>05.463.276/0001-20</t>
  </si>
  <si>
    <t>VIACON CONSTRUÇÕES E MONTAGENS LTDA</t>
  </si>
  <si>
    <t>Concorrência Nº015/2011</t>
  </si>
  <si>
    <t>Contratação de empresa de engenharia para execução dos serviços especializados de limpeza de canais e galerias no Município do Jaboatão dos Guararapes, inseridos no Programa Caminho das Águas - Lote 01</t>
  </si>
  <si>
    <t>008/2012</t>
  </si>
  <si>
    <t>SERVITIUM LTDA</t>
  </si>
  <si>
    <t>Contratação de empresa de engenharia para execução dos serviços especializados de limpeza de canais e galerias no Município do Jaboatão dos Guararapes, inseridos no Programa Caminho das Águas - Lote 02</t>
  </si>
  <si>
    <t>009/2012</t>
  </si>
  <si>
    <t>012/2016</t>
  </si>
  <si>
    <t>81.424.962/0001-70</t>
  </si>
  <si>
    <t>OBRA PARALISADA</t>
  </si>
  <si>
    <t>03.539.154/0001-44</t>
  </si>
  <si>
    <t>08.336.260/0001-44</t>
  </si>
  <si>
    <t>Walter Lopes Engenharia Ltda</t>
  </si>
  <si>
    <t>09.158.398/0001-63</t>
  </si>
  <si>
    <t>03.965.980/0001-55</t>
  </si>
  <si>
    <t>ABREU E LIMA</t>
  </si>
  <si>
    <t>Em execução</t>
  </si>
  <si>
    <t xml:space="preserve"> - </t>
  </si>
  <si>
    <t>Concluida</t>
  </si>
  <si>
    <t>092/2014</t>
  </si>
  <si>
    <t>03.671.887/0001-38</t>
  </si>
  <si>
    <t>07.271.503/0001-40</t>
  </si>
  <si>
    <t>35.532.332/0001-00</t>
  </si>
  <si>
    <t>10.581.445/0001-66</t>
  </si>
  <si>
    <t>009/2016</t>
  </si>
  <si>
    <t>05.654.826/0001-98</t>
  </si>
  <si>
    <t>20.058.812/0001-03</t>
  </si>
  <si>
    <t>050/2016</t>
  </si>
  <si>
    <t>069/2016</t>
  </si>
  <si>
    <t>AFOGADOS DA INGAZEIRA</t>
  </si>
  <si>
    <t>021/2013</t>
  </si>
  <si>
    <t>SECID</t>
  </si>
  <si>
    <t>05.906.887/0001-03</t>
  </si>
  <si>
    <t>FEM</t>
  </si>
  <si>
    <t xml:space="preserve"> </t>
  </si>
  <si>
    <t>04.411.800/0001-56</t>
  </si>
  <si>
    <t>12.912.423/0001-67</t>
  </si>
  <si>
    <t>DNJ CONSTRUÇÕES LTDA - ME</t>
  </si>
  <si>
    <t>Contratação de mão de obra para executar os serviços de linha d`água, assentamento de meio fio de concreto pré-moldado e piso inter-travado na Zona Urbana e Rural do Município.</t>
  </si>
  <si>
    <t>13/2015</t>
  </si>
  <si>
    <t>23/2015</t>
  </si>
  <si>
    <t>Contratação da Empresa para prestação de serviços referente a elaboração de orçamento para reforma do Centro de Triagem de Resídios Sólidos.</t>
  </si>
  <si>
    <t>01/2016</t>
  </si>
  <si>
    <t>17.314.738/0001-26</t>
  </si>
  <si>
    <t>CONSÓRCIO DE INTEGRAÇÃO DOS MUNICÍPIOS DO PAJEÚ</t>
  </si>
  <si>
    <t>DISPENSA</t>
  </si>
  <si>
    <t>4490.51</t>
  </si>
  <si>
    <t>AFRÂNIO</t>
  </si>
  <si>
    <t>TP 001/2016</t>
  </si>
  <si>
    <t>FNS</t>
  </si>
  <si>
    <t>ARCO ENGENHARIA E CONSTRUÇÕES LTDA</t>
  </si>
  <si>
    <t>CONCORRENCIA 02/2014</t>
  </si>
  <si>
    <t>TP 006/2016</t>
  </si>
  <si>
    <t>11.482.245/0001-19</t>
  </si>
  <si>
    <t>TP 004/2016</t>
  </si>
  <si>
    <t>TP 005/2016</t>
  </si>
  <si>
    <t>19.843.140/0001-50</t>
  </si>
  <si>
    <t>CODEVASF</t>
  </si>
  <si>
    <t>MINISTERIO DO TURISMO</t>
  </si>
  <si>
    <t>TP 008/2013</t>
  </si>
  <si>
    <t>TP 05/2013</t>
  </si>
  <si>
    <t>35.389.170/0001-94</t>
  </si>
  <si>
    <t>CONSTRUTORA CASSI LTDA</t>
  </si>
  <si>
    <t>44.90.52</t>
  </si>
  <si>
    <t>AGRESTINA</t>
  </si>
  <si>
    <t>TP 001/2012</t>
  </si>
  <si>
    <t>PAC</t>
  </si>
  <si>
    <t>distratado</t>
  </si>
  <si>
    <t>07.230.189/0001-58</t>
  </si>
  <si>
    <t>Multi Serviços e Projetos Ltda</t>
  </si>
  <si>
    <t>Princesa do Agreste Empreendimentos Ltda</t>
  </si>
  <si>
    <t>04 - INFRA</t>
  </si>
  <si>
    <t>07.863.330/0001-50</t>
  </si>
  <si>
    <t>GM Incorp. Serv. Transporte Ltda</t>
  </si>
  <si>
    <t>08 - INFRA</t>
  </si>
  <si>
    <t>Mcidades</t>
  </si>
  <si>
    <t>09 - INFRA</t>
  </si>
  <si>
    <t>10 - INFRA</t>
  </si>
  <si>
    <t>TP 003/2013</t>
  </si>
  <si>
    <t>11 - INFRA</t>
  </si>
  <si>
    <t>TP 006/2013</t>
  </si>
  <si>
    <t>TP 001/2014</t>
  </si>
  <si>
    <t>Construção de esgotamento sanitário</t>
  </si>
  <si>
    <t>281/2012</t>
  </si>
  <si>
    <t>05.219.643/0001-44</t>
  </si>
  <si>
    <t>Conserv - Construções e Serviços Ltda</t>
  </si>
  <si>
    <t>andamento</t>
  </si>
  <si>
    <t>17.172.853/0001-03</t>
  </si>
  <si>
    <t>Skalla Incorporadora Ltda</t>
  </si>
  <si>
    <t>Construção da Sala de Arquivo e Setor de Compras</t>
  </si>
  <si>
    <t>Revitalização da Quadra Poliesportiva Izidio Marques Galvão</t>
  </si>
  <si>
    <t>Pavimentação em paralelepípedos em diversas ruas</t>
  </si>
  <si>
    <t>Porto da Construção Ltda</t>
  </si>
  <si>
    <t>TP 005/2014</t>
  </si>
  <si>
    <t>SEINFRA</t>
  </si>
  <si>
    <t>10.556.657/0001-93</t>
  </si>
  <si>
    <t>Ambrella Construtora e Incorporadora Ltda</t>
  </si>
  <si>
    <t>paralisada</t>
  </si>
  <si>
    <t>Recapeamento Asfáltico em diversos logradouros</t>
  </si>
  <si>
    <t>789989/2013</t>
  </si>
  <si>
    <t>TP 006/2015</t>
  </si>
  <si>
    <t>Reforma do Campo de Futebol</t>
  </si>
  <si>
    <t>788633/2013</t>
  </si>
  <si>
    <t>M. Esportes</t>
  </si>
  <si>
    <t>M. Turismo</t>
  </si>
  <si>
    <t>TP 015/2015</t>
  </si>
  <si>
    <t>Construção do Pórtico de entrada da Cidade</t>
  </si>
  <si>
    <t>TP 017/2015</t>
  </si>
  <si>
    <t>Requalificação da Praça Nossa Senhora Aparecida</t>
  </si>
  <si>
    <t>TP 019/2015</t>
  </si>
  <si>
    <t>Conclusão da Construção de 01 quadra coberta com vestiário - FNDE</t>
  </si>
  <si>
    <t>PAC202368</t>
  </si>
  <si>
    <t>distratada</t>
  </si>
  <si>
    <t>TP 020/2015</t>
  </si>
  <si>
    <t>335595-74</t>
  </si>
  <si>
    <t>006/2015</t>
  </si>
  <si>
    <t>TP 004/2016.</t>
  </si>
  <si>
    <t>Manutenção Preventiva e corretiva das escolas</t>
  </si>
  <si>
    <t>CV 006/2016</t>
  </si>
  <si>
    <t>Roço de estradas vicinais</t>
  </si>
  <si>
    <t>CV 009/2016</t>
  </si>
  <si>
    <t>Requalificação do Predio Sede da Prefeitura e do Centro Cultural</t>
  </si>
  <si>
    <t>CV 011/2016</t>
  </si>
  <si>
    <t>M. Cidades</t>
  </si>
  <si>
    <t>07.151.221/0001-00</t>
  </si>
  <si>
    <t>TP 008/2016</t>
  </si>
  <si>
    <t>TP 011/2016</t>
  </si>
  <si>
    <t>Secid</t>
  </si>
  <si>
    <t>20.326.544/0001-55</t>
  </si>
  <si>
    <t>Agrape Projetos e Consultoria Ltda</t>
  </si>
  <si>
    <t>Reforma da Praça Jose Manoel da Silva</t>
  </si>
  <si>
    <t>Pavimentação em paralelepípedos na sede municipal e distritos</t>
  </si>
  <si>
    <t>03.349.259/0001-30</t>
  </si>
  <si>
    <t>Camol Construtora Amorim Ltda</t>
  </si>
  <si>
    <t>TP 012/2016</t>
  </si>
  <si>
    <t>Conclusão de quadra FNDE</t>
  </si>
  <si>
    <t>pac 202368/2011</t>
  </si>
  <si>
    <t>11.409.172/0001-30</t>
  </si>
  <si>
    <t>Fazbem Construções Ltda - ME</t>
  </si>
  <si>
    <t>TP 013/2016</t>
  </si>
  <si>
    <t>Reforma e ampliação do mercado publico</t>
  </si>
  <si>
    <t>24.953.389/0001-58</t>
  </si>
  <si>
    <t>Esas Construtora Eireli EPP</t>
  </si>
  <si>
    <t>ÁGUAS BELAS</t>
  </si>
  <si>
    <t>20.072.033/0001-54</t>
  </si>
  <si>
    <t>14.310.826/0001-61</t>
  </si>
  <si>
    <t>M &amp; C CONSTRUTORA E SERVIÇOS LTDA -EPP</t>
  </si>
  <si>
    <t>21.272.170/0001-03</t>
  </si>
  <si>
    <t>ALAGOINHA</t>
  </si>
  <si>
    <t>CONSTRUÇÃO DE UMA CRECHE PROINFÂNCIA TIPO 2 - CONFORME PROJETO PADRÃO FNDE.</t>
  </si>
  <si>
    <t>FNDE/PAR</t>
  </si>
  <si>
    <t>05.568.447/0001-85</t>
  </si>
  <si>
    <t>PAEZINHO EMPREITEIRA E CONSTRUTORA LTDA</t>
  </si>
  <si>
    <t>010/2016/PMA</t>
  </si>
  <si>
    <t>009/2014</t>
  </si>
  <si>
    <t>06.958.998/0001-18</t>
  </si>
  <si>
    <t>TP 006/2014</t>
  </si>
  <si>
    <t>07.956.067/0001-43</t>
  </si>
  <si>
    <t>ALIANÇA</t>
  </si>
  <si>
    <t>TP 009/2011</t>
  </si>
  <si>
    <t>CEF/MTUR</t>
  </si>
  <si>
    <t>10.510.735/0001-19</t>
  </si>
  <si>
    <t>CONSTRUTORA BATISTA E VASCONCELOS LTDA</t>
  </si>
  <si>
    <t>033/2012</t>
  </si>
  <si>
    <t>PP 010/2012</t>
  </si>
  <si>
    <t>CEF/M.CIDADES.</t>
  </si>
  <si>
    <t>10.510.735/0001-20</t>
  </si>
  <si>
    <t>072/2012</t>
  </si>
  <si>
    <t>PP 009/2012</t>
  </si>
  <si>
    <t>C.R: 330.583-22/2010 SIAFI: 740866</t>
  </si>
  <si>
    <t>10.997.355/0001-50</t>
  </si>
  <si>
    <t>073/2012</t>
  </si>
  <si>
    <t>TP 002/2012</t>
  </si>
  <si>
    <t>TC/PAC 046/2012</t>
  </si>
  <si>
    <t>FUNASA/MS</t>
  </si>
  <si>
    <t>048/2012</t>
  </si>
  <si>
    <t>005/2012</t>
  </si>
  <si>
    <t>TC/PAC 613/2009</t>
  </si>
  <si>
    <t>094/2012</t>
  </si>
  <si>
    <t>CC 002/2012</t>
  </si>
  <si>
    <t>TC/PAC 0550/2009</t>
  </si>
  <si>
    <t>03.086.586/0001-47</t>
  </si>
  <si>
    <t>CONSBRASIL - CONSTRUTORA BRASIL LTDA EPP</t>
  </si>
  <si>
    <t>118/2012</t>
  </si>
  <si>
    <t>TP 008/2012</t>
  </si>
  <si>
    <t>MS/SUS</t>
  </si>
  <si>
    <t>120/2012</t>
  </si>
  <si>
    <t>FNDE/MEC</t>
  </si>
  <si>
    <t>PP 009/2014</t>
  </si>
  <si>
    <t>SECRETARIA DE INFRAESTRUTURA DO ESTADO DE PERNAMBUCO</t>
  </si>
  <si>
    <t>00.999.591/0001-52</t>
  </si>
  <si>
    <t>AGC CONSTRUÇÕES E EMPREENDIMENTOS LTDA</t>
  </si>
  <si>
    <t>082/2014</t>
  </si>
  <si>
    <t>PP 013/2014</t>
  </si>
  <si>
    <t>TERMO DE ADESÃO Nº 010/2014</t>
  </si>
  <si>
    <t>3.3.90.39.00 4.4.90.51.00</t>
  </si>
  <si>
    <t>CV 005/2013</t>
  </si>
  <si>
    <t>PAC2 3978/2013</t>
  </si>
  <si>
    <t>09.531.960/0001-52</t>
  </si>
  <si>
    <t>118/2013</t>
  </si>
  <si>
    <t>TP 002/2014</t>
  </si>
  <si>
    <t>CONSTRUÇÃO DE 01 (UMA) QUADRA COBERTA COM VESTIÁRIO NA ESC. BELARMINO MORAES P. DE MELO, NA CHÃ DO ESCONSO - ALIANÇA-PE</t>
  </si>
  <si>
    <t>PAC2 11539/2014</t>
  </si>
  <si>
    <t>VASCONCELOS &amp; MAGALHÃES EMPREENDIMENTOS LTDA</t>
  </si>
  <si>
    <t>CONSTRUÇÃO DE 01 (UMA) QUADRA COBERTA COM VESTIÁRIO NA ESC. ANÍSIA PEREIRA DE LIRA, NA VILA DA COHAB - ALIANÇA-PE.</t>
  </si>
  <si>
    <t>010/2015</t>
  </si>
  <si>
    <t>CV 03/2015</t>
  </si>
  <si>
    <t>020/2015</t>
  </si>
  <si>
    <t>3.3.90.39.01</t>
  </si>
  <si>
    <t>ALTINHO</t>
  </si>
  <si>
    <t>TOMADA DE PREÇOS Nº 002/2015</t>
  </si>
  <si>
    <t>S/N</t>
  </si>
  <si>
    <t>012/2015</t>
  </si>
  <si>
    <t>TOMADA DE PREÇOS Nº 003/2015</t>
  </si>
  <si>
    <t>05.623.631/0001-80</t>
  </si>
  <si>
    <t>AMARAJI</t>
  </si>
  <si>
    <t>CONCLUIDO</t>
  </si>
  <si>
    <t>OCTAGON EMPREENDIMENTOS LTDA</t>
  </si>
  <si>
    <t>14.960.050/0001-25</t>
  </si>
  <si>
    <t>07.468.856/0001-35</t>
  </si>
  <si>
    <t>CONSTRUTORA SOLO LTDA - ME</t>
  </si>
  <si>
    <t>NÃO INICIADA</t>
  </si>
  <si>
    <t>03/2015</t>
  </si>
  <si>
    <t>CONTRATO RESCINDIDO</t>
  </si>
  <si>
    <t>21.591.562/0001-27</t>
  </si>
  <si>
    <t>20.520.477/0001-05</t>
  </si>
  <si>
    <t>020/2016</t>
  </si>
  <si>
    <t>FUNDO PREVIDENCIÁRIO DO MUNICÍPIO</t>
  </si>
  <si>
    <t>ANGELIM</t>
  </si>
  <si>
    <t>FUNDO MUNICIPAL DE PREVIDÊNCIA</t>
  </si>
  <si>
    <t>ARAÇOIABA</t>
  </si>
  <si>
    <t>17.539.386/0001-07</t>
  </si>
  <si>
    <t>IG CONSTRUTORA LTDA - ME</t>
  </si>
  <si>
    <t>042/2016</t>
  </si>
  <si>
    <t>ARARIPINA</t>
  </si>
  <si>
    <t>ARCOVERDE</t>
  </si>
  <si>
    <t>TP Nº 002/2011</t>
  </si>
  <si>
    <t>Pavimentação em paralelo granitico, drenagem e construção de Canal no Bairro Cidade Jardim, neste Municipio.</t>
  </si>
  <si>
    <t>CONVÊNIO Nº 723912/2009</t>
  </si>
  <si>
    <t>SEDEC - MINISTÉRIO DA INTEGRAÇÃO NACIONAL</t>
  </si>
  <si>
    <t>07.693.988/0001-60</t>
  </si>
  <si>
    <t>F.R.F ENGENHARIA LTDA</t>
  </si>
  <si>
    <t>______</t>
  </si>
  <si>
    <t>CC Nº 006/2011</t>
  </si>
  <si>
    <t>Reposição e pavimentação de calçamento granitico de diversas ruas neste municipio.</t>
  </si>
  <si>
    <t>Contrato de Repasse Nº 327.455-14/2010</t>
  </si>
  <si>
    <t>MCIDADES/CAIXA</t>
  </si>
  <si>
    <t>04.882.750/0001-95</t>
  </si>
  <si>
    <t>CONDOR CONSTRUÇÕES LTDA</t>
  </si>
  <si>
    <t xml:space="preserve"> CC Nº 007/2011</t>
  </si>
  <si>
    <t>Reposição e pavimentação de calçamento granitico de diversas ruas na sede do municipio de Arcoverde.</t>
  </si>
  <si>
    <t>Contrato de Repasse Nº 333.506-48/2010</t>
  </si>
  <si>
    <t>Concorrência Nº 005/2011</t>
  </si>
  <si>
    <t>Reposição e pavimentação de calçamento granitico de diversas ruas no municipio de Arcoverde</t>
  </si>
  <si>
    <t>Contrato de Repasse Nº 335.966-69/2010</t>
  </si>
  <si>
    <t>065/2011</t>
  </si>
  <si>
    <t>14.417.792/0001-09</t>
  </si>
  <si>
    <t>Obra concluída</t>
  </si>
  <si>
    <t>04.231.471/0001-61</t>
  </si>
  <si>
    <t>018/2014</t>
  </si>
  <si>
    <t>10.565.011/0001-72</t>
  </si>
  <si>
    <t>SEPLAG</t>
  </si>
  <si>
    <t>FINALIZADA</t>
  </si>
  <si>
    <t>BARREIROS</t>
  </si>
  <si>
    <t>03.608.944/0001-34</t>
  </si>
  <si>
    <t>3.44.90.51</t>
  </si>
  <si>
    <t>TOMADA DE PREÇO N° 002/2014</t>
  </si>
  <si>
    <t>44.90.51.99</t>
  </si>
  <si>
    <t>BELÉM DE MARIA</t>
  </si>
  <si>
    <t>PAC 2</t>
  </si>
  <si>
    <t>11.421.276/0001-60</t>
  </si>
  <si>
    <t>CONSTRUTORA ABIDÁ LTDA</t>
  </si>
  <si>
    <t>15.088.207/0001-37</t>
  </si>
  <si>
    <t>FUNDEB</t>
  </si>
  <si>
    <t>3.3.90.39.74</t>
  </si>
  <si>
    <t>CANCELADA</t>
  </si>
  <si>
    <t>BELÉM DE SÃO FRANCISCO</t>
  </si>
  <si>
    <t>BELO JARDIM</t>
  </si>
  <si>
    <t>11.209.891/0001-07</t>
  </si>
  <si>
    <t>4.4.90.51.99</t>
  </si>
  <si>
    <t>05.625.079/0001-60</t>
  </si>
  <si>
    <t>055/2014</t>
  </si>
  <si>
    <t>086/2014</t>
  </si>
  <si>
    <t>093/2014</t>
  </si>
  <si>
    <t>05.506.000/0001-81</t>
  </si>
  <si>
    <t>MAV CONSULTORIA E SERVIÇOS LTDA</t>
  </si>
  <si>
    <t>040/2014</t>
  </si>
  <si>
    <t>077/2015</t>
  </si>
  <si>
    <t>10.644.806/0001-76</t>
  </si>
  <si>
    <t>032/2016</t>
  </si>
  <si>
    <t>085/2016</t>
  </si>
  <si>
    <t>NORDESTE CONSTRUÇÕES INSTALAÇÕES E LOCAÇÕES LTDA-ME</t>
  </si>
  <si>
    <t>05.244.095/0001-02</t>
  </si>
  <si>
    <t>083/2016</t>
  </si>
  <si>
    <t>BETÂNIA</t>
  </si>
  <si>
    <t>016/2016</t>
  </si>
  <si>
    <t>022/2014</t>
  </si>
  <si>
    <t>FEM 2014</t>
  </si>
  <si>
    <t>11.170.243/0001-94</t>
  </si>
  <si>
    <t>024/2014</t>
  </si>
  <si>
    <t>042/2013</t>
  </si>
  <si>
    <t>025/2013</t>
  </si>
  <si>
    <t>08.174.804/0001-19</t>
  </si>
  <si>
    <t>BEZERROS</t>
  </si>
  <si>
    <t xml:space="preserve">Processo nº 005/2014 Concorrência nº 001/2014 </t>
  </si>
  <si>
    <t>Construção de Unidade de Pronto Atendimento – UPA Porte I</t>
  </si>
  <si>
    <t>Portaria nº 1.344 de 29/06/2012</t>
  </si>
  <si>
    <t>Ministério da Saúde/Fundo Nacional de Saúde</t>
  </si>
  <si>
    <t>Fernandes Machado engenharia e Arquitetura LTDA EPP</t>
  </si>
  <si>
    <t>Processo nº 029/2014 Carta Convite nº 006/2014</t>
  </si>
  <si>
    <t>Reforma das Unidades de Saúde Básica de Serra Negra.</t>
  </si>
  <si>
    <t>Portaria nº 2.814 de 29/11/2011</t>
  </si>
  <si>
    <t>13.965.461/0001-40</t>
  </si>
  <si>
    <t>SOLITEC Serviços Técnicos LTDA</t>
  </si>
  <si>
    <t>094/2014</t>
  </si>
  <si>
    <t>Reforma das Unidades de Saúde Básica de Cajazeiras.</t>
  </si>
  <si>
    <t>Reforma das Unidades de Saúde Básica de Areias.</t>
  </si>
  <si>
    <t>Fundo Nacional de Desenvolvimento da Educação</t>
  </si>
  <si>
    <t>s/nº</t>
  </si>
  <si>
    <t>Construção de Quadra Poliesportiva com Palco na Escola Municipal Nelson Castanha</t>
  </si>
  <si>
    <t>078/2016</t>
  </si>
  <si>
    <t>BODOCÓ</t>
  </si>
  <si>
    <t>MINISTERIO DA SAUDE</t>
  </si>
  <si>
    <t>764603/2011</t>
  </si>
  <si>
    <t>13.880.407/0001-00</t>
  </si>
  <si>
    <t>134/2012</t>
  </si>
  <si>
    <t>22558/2014</t>
  </si>
  <si>
    <t>FEM 2</t>
  </si>
  <si>
    <t>13.507.813/0001-14</t>
  </si>
  <si>
    <t>079/2014</t>
  </si>
  <si>
    <t>15.544.385/0001-25</t>
  </si>
  <si>
    <t>035/2014</t>
  </si>
  <si>
    <t>002/2015</t>
  </si>
  <si>
    <t>027/2015</t>
  </si>
  <si>
    <t>11.512.762/0001-93</t>
  </si>
  <si>
    <t>BOM CONSELHO</t>
  </si>
  <si>
    <t>031/2012</t>
  </si>
  <si>
    <t>062/2015</t>
  </si>
  <si>
    <t>TP 001/15</t>
  </si>
  <si>
    <t>CC001/2015</t>
  </si>
  <si>
    <t>10.952.038/0001-18</t>
  </si>
  <si>
    <t>085/2013</t>
  </si>
  <si>
    <t>BONITO</t>
  </si>
  <si>
    <t>03.329.905/0001-06</t>
  </si>
  <si>
    <t>PORTELA CONSTRUÇÃO LTDA.</t>
  </si>
  <si>
    <t>LCR CONSTRUTORA LTDA – EPP</t>
  </si>
  <si>
    <t>EM  ANDAMENTO</t>
  </si>
  <si>
    <t>TP 003/2012</t>
  </si>
  <si>
    <t>17.653.616/0001-64</t>
  </si>
  <si>
    <t>11.539.332/0001-65</t>
  </si>
  <si>
    <t>TP 003/2011</t>
  </si>
  <si>
    <t>030/2015</t>
  </si>
  <si>
    <t>13.477.111/0001-35</t>
  </si>
  <si>
    <t>BREJO DA MADRE DE DEUS</t>
  </si>
  <si>
    <t>05506000/0001-81</t>
  </si>
  <si>
    <t>MAV CONSULTORIA E SERVS. LTDA.</t>
  </si>
  <si>
    <t>11539332/0001-65</t>
  </si>
  <si>
    <t>CONSTRUTORA ALTO DO MOURA LTDA.</t>
  </si>
  <si>
    <t>10 MESES</t>
  </si>
  <si>
    <t>TP 001/16</t>
  </si>
  <si>
    <t>17653616/0001-64  18129658/0001-63</t>
  </si>
  <si>
    <t>BUÍQUE</t>
  </si>
  <si>
    <t>S/N°</t>
  </si>
  <si>
    <t>44905100</t>
  </si>
  <si>
    <t>Distratada</t>
  </si>
  <si>
    <t>TP-009/2011</t>
  </si>
  <si>
    <t>05.468.317/0001-70</t>
  </si>
  <si>
    <t>CABO DE SANTO AGOSTINHO</t>
  </si>
  <si>
    <t>INSTITUTO DE PREVIDÊNCIA SOCIAL DOS SERVIDORES MUNICIPAIS</t>
  </si>
  <si>
    <t xml:space="preserve">EM ANDAMENTO </t>
  </si>
  <si>
    <t xml:space="preserve">MINISTÉRIO DO TURISMO </t>
  </si>
  <si>
    <t>001/2015</t>
  </si>
  <si>
    <t>Construtora Ancar LTDA.</t>
  </si>
  <si>
    <t>088/2014</t>
  </si>
  <si>
    <t>CABROBÓ</t>
  </si>
  <si>
    <t>053/2013</t>
  </si>
  <si>
    <t>Ministério da Saúde</t>
  </si>
  <si>
    <t>TP002/2014</t>
  </si>
  <si>
    <t>PAR Nº22564/2014</t>
  </si>
  <si>
    <t>10.680.061/0001-09</t>
  </si>
  <si>
    <t>TP003/2014</t>
  </si>
  <si>
    <t>Serviços de engenharia relativos a construção de 01 escola com 06 (seis) salas de aula na comunidade Mãe Rosa interior desse município</t>
  </si>
  <si>
    <t>05.670.659/001-79</t>
  </si>
  <si>
    <t>Arco Engenharia e construções LTDA</t>
  </si>
  <si>
    <t>065/2014</t>
  </si>
  <si>
    <t>TP004/2014</t>
  </si>
  <si>
    <t>066/2014</t>
  </si>
  <si>
    <t>10.629.006/001-86</t>
  </si>
  <si>
    <t>069/2014</t>
  </si>
  <si>
    <t>Obra e serviço de engenharia relativos a construção de Uma Escola com 06(Seis) salas de aula na comunidade Cachoeirinha na Zona rural desse Município</t>
  </si>
  <si>
    <t>08.716.969/0001-75</t>
  </si>
  <si>
    <t>D'Barros Construções e Projetos LTDA</t>
  </si>
  <si>
    <t>TP005/2014</t>
  </si>
  <si>
    <t>TP006/2014</t>
  </si>
  <si>
    <t>ministerio das cidades</t>
  </si>
  <si>
    <t>Serviços de engenharia relativos a pavimentação das ruas: Joao Gonçalves, Lídia de souza, estandislau, Dr. Djalma, Manoel do nascimento</t>
  </si>
  <si>
    <t>36481539/2011</t>
  </si>
  <si>
    <t>TP015/2014</t>
  </si>
  <si>
    <t>TP002/2012</t>
  </si>
  <si>
    <t>32605554/2010</t>
  </si>
  <si>
    <t>Miniaterio das cidades</t>
  </si>
  <si>
    <t>G7 Construtora e Empreendimentos LTDA ME</t>
  </si>
  <si>
    <t>022/2015</t>
  </si>
  <si>
    <t>CACHOEIRINHA</t>
  </si>
  <si>
    <t>035/2016</t>
  </si>
  <si>
    <t>3.3.90.39.05</t>
  </si>
  <si>
    <t>Recuperação de Saneamento em diversas arterias</t>
  </si>
  <si>
    <t>3.3.90.30.52</t>
  </si>
  <si>
    <t>Recuperação de Prédios Públicos e outros</t>
  </si>
  <si>
    <t>SETRA</t>
  </si>
  <si>
    <t>Recuperação de Calçamento em diversas Artérias Municipais</t>
  </si>
  <si>
    <t>CAETÉS</t>
  </si>
  <si>
    <t>CALÇADO</t>
  </si>
  <si>
    <t>Construtora Ancar Ltda</t>
  </si>
  <si>
    <t>concluida</t>
  </si>
  <si>
    <t>004/2012</t>
  </si>
  <si>
    <t>10.851.227/0001-02</t>
  </si>
  <si>
    <t>CALUMBI</t>
  </si>
  <si>
    <t>Fundo Nacional de Desenvolvimento da Educação - FNDE</t>
  </si>
  <si>
    <t>GRANDE SERRA CONSTRUÇÃO E SERVIÇOS LTDA ME</t>
  </si>
  <si>
    <t>CV 004/2015</t>
  </si>
  <si>
    <t>Contratação de empresa especializada para execução de serviços de engenharia para ampliação de Rede de Abastecimento de Água no Sítio Camaleão, zona rural do município.</t>
  </si>
  <si>
    <t>11.393.001/0001-60</t>
  </si>
  <si>
    <t>NP CONSTRUÇÃO LTDA</t>
  </si>
  <si>
    <t>4.4.90.51.92</t>
  </si>
  <si>
    <t>CAMARAGIBE</t>
  </si>
  <si>
    <t>339039</t>
  </si>
  <si>
    <t>062/2014</t>
  </si>
  <si>
    <t>028/2013</t>
  </si>
  <si>
    <t>FUNDAÇÃO DE CULTURA, TURISMO E ESPORTES</t>
  </si>
  <si>
    <t>CAMOCIM DE SÃO FÉLIX</t>
  </si>
  <si>
    <t>XXX</t>
  </si>
  <si>
    <t>xxx</t>
  </si>
  <si>
    <t>068/2013</t>
  </si>
  <si>
    <t>030/2014</t>
  </si>
  <si>
    <t>029/2014</t>
  </si>
  <si>
    <t>07.791.333/0001-25</t>
  </si>
  <si>
    <t>021/2015</t>
  </si>
  <si>
    <t>08.179.270/0001-13</t>
  </si>
  <si>
    <t>MACHADO E SOBRAL CONSTRUÇÕES LTDA</t>
  </si>
  <si>
    <t>019/2015</t>
  </si>
  <si>
    <t>11.650.072/0001-09</t>
  </si>
  <si>
    <t>JLPM CONSTRUÇÕES LTDA</t>
  </si>
  <si>
    <t>CANHOTINHO</t>
  </si>
  <si>
    <t>3.3.4.9.0.51</t>
  </si>
  <si>
    <t>04.374.762/0001-09</t>
  </si>
  <si>
    <t>0</t>
  </si>
  <si>
    <t>TP-01/14</t>
  </si>
  <si>
    <t>CONSTRUÇÃO DE UMA QUADRA POLIESPORTIVA COM VESTUÁRIO NA SEDE DO MUNICÍPIO</t>
  </si>
  <si>
    <t>17.447.279/0001-59</t>
  </si>
  <si>
    <t>Construmar Eng. Ltda</t>
  </si>
  <si>
    <t>129/14</t>
  </si>
  <si>
    <t>TP 02/16</t>
  </si>
  <si>
    <t>CAPOEIRAS</t>
  </si>
  <si>
    <t>3390.39</t>
  </si>
  <si>
    <t>33.90.36</t>
  </si>
  <si>
    <t>TP 01/2016</t>
  </si>
  <si>
    <t>05/2016</t>
  </si>
  <si>
    <t>3390.30</t>
  </si>
  <si>
    <t>3390.36</t>
  </si>
  <si>
    <t>SUDENE</t>
  </si>
  <si>
    <t>CARNAÍBA</t>
  </si>
  <si>
    <t>CARUARU</t>
  </si>
  <si>
    <t>EMPRESA DE URBANIZAÇÃO, PLANEJAMENTO E MEIO AMBIENTE</t>
  </si>
  <si>
    <t>023/2014</t>
  </si>
  <si>
    <t>CV 003/2015</t>
  </si>
  <si>
    <t>ABL ENGENHARIA COMÉRCIO E REPRESENTAÇÃO LTDA.</t>
  </si>
  <si>
    <t>CP 001/20153</t>
  </si>
  <si>
    <t>PAVIMENTAÇÃO EM PARALELO EM DIVERSAS RUAS NESTE MUNICÍPIO, BAIRRO LUIZ GONZAGA. LOTE 01: RUA CLÁUDIA GONDIM, RUA JOSÉ T. ALVES PEREIRA. LOTE 02: RUA TENENTE COSTA E SILVA, RUA GALILEU FIGUEIREDO, RUA ALBERTO PEREIRA PINTO.</t>
  </si>
  <si>
    <t>DL 004/2016</t>
  </si>
  <si>
    <t>026/2015</t>
  </si>
  <si>
    <t>036/2015</t>
  </si>
  <si>
    <t>CP 006/2016</t>
  </si>
  <si>
    <t>ANDRADE &amp; SANTOS CONSTRUTORA LTDA - EPP</t>
  </si>
  <si>
    <t>041/2015</t>
  </si>
  <si>
    <t>CP 007/2015</t>
  </si>
  <si>
    <t>045/2015</t>
  </si>
  <si>
    <t>043/2015</t>
  </si>
  <si>
    <t>22.657.624/0001-19</t>
  </si>
  <si>
    <t>CONSTRUTORA JMV LTDA</t>
  </si>
  <si>
    <t>EXECUÇÃO DOS SERVIÇOS REMANESCENTES DA OBRA DE CONSTRUÇÃO DO CENTRO DE REFERÊNCIA ESPECIALIZADA DE ASSISTÊNCIA SOCIAL - CREAS, A SER LOCALIZADO NA RUA JOSÉ MARCELINO DE ARAÚJO, 1062, CEDRO</t>
  </si>
  <si>
    <t>CP 007/2010</t>
  </si>
  <si>
    <t>SERVIÇO DE TERRAPLENAGEM, PAVIMENTAÇÃO, DRENAGEM E REDE D'ÁGUA EM VIAS LOCALIZADAS NA VILA CAJÁ. RUA REI DAVID, VILA CAJÁ</t>
  </si>
  <si>
    <t>04.199.032/0001-19</t>
  </si>
  <si>
    <t>DUARTE CARVALHO EMPREENDIMENTOS LTDA</t>
  </si>
  <si>
    <t>130/2010</t>
  </si>
  <si>
    <t>04/06/2013 (PARALISAÇÃO)</t>
  </si>
  <si>
    <t>TP003/2010</t>
  </si>
  <si>
    <t>SERVIÇO DE ESGOTAMENTO SANITÁRIO. VILA DO CAJÁ</t>
  </si>
  <si>
    <t>169/2010</t>
  </si>
  <si>
    <t>20/03/2014 (PARALISAÇÃO)</t>
  </si>
  <si>
    <t>PAVIMENTAÇÃO ASFÁLTICA DAS ESTRADAS VICINAIS DOS LOTES I, II, III, IV E V DO MUNICÍCPIO DE CARUARU</t>
  </si>
  <si>
    <t>06.204.246/0001-61</t>
  </si>
  <si>
    <t xml:space="preserve">ECAM TERRAPLANAGEM E PAVIMENTAÇÃO LTDA </t>
  </si>
  <si>
    <t>PAVIMENTAÇÃO EM PARALELO EM DIVERSAS RUAS NO LOTE II</t>
  </si>
  <si>
    <t>JML INFRAESTRUTURA E SERVIÇOS</t>
  </si>
  <si>
    <t>018/2016</t>
  </si>
  <si>
    <t>03.834.750/0001-57</t>
  </si>
  <si>
    <t>LANÇAR CONSTRUTORA E INCORPORADORA LTDA</t>
  </si>
  <si>
    <t>CP 002/2015</t>
  </si>
  <si>
    <t>PORTELA CONSTRUÇÕES LTDA - ME</t>
  </si>
  <si>
    <t>PAVIMENTAÇÃO EM PARALELO EM DIVERSAS RUAS DESTE MUNICÍPIO NO LOTE IV</t>
  </si>
  <si>
    <t>02.934.357/0001-72</t>
  </si>
  <si>
    <t>CASINHAS</t>
  </si>
  <si>
    <t>09.084.085/0001-08</t>
  </si>
  <si>
    <t>TP Nº 001/2015</t>
  </si>
  <si>
    <t>20.298.277/0001-50</t>
  </si>
  <si>
    <t>41.109.612/0001-02</t>
  </si>
  <si>
    <t>NORDESTE CONSTRUÇÕES INSTALAÇÕES E LOCAÇÕES LTDA - ME</t>
  </si>
  <si>
    <t>GM INCORPORADORA SERVIÇOS E TRANSPORTES LTDA - ME</t>
  </si>
  <si>
    <t>20.687.159/0001-33</t>
  </si>
  <si>
    <t>4.4.90.51.91</t>
  </si>
  <si>
    <t>CEDRO</t>
  </si>
  <si>
    <t>TP 01/2014</t>
  </si>
  <si>
    <t>051/2014</t>
  </si>
  <si>
    <t>066/2015</t>
  </si>
  <si>
    <t>065/2015</t>
  </si>
  <si>
    <t>CHÃ DE ALEGRIA</t>
  </si>
  <si>
    <t>02.951.249/0001-08</t>
  </si>
  <si>
    <t>CHÃ GRANDE</t>
  </si>
  <si>
    <t>3.3.90.36</t>
  </si>
  <si>
    <t>CONSTRUTORA SOLO  LTDA - ME</t>
  </si>
  <si>
    <t>034/2014</t>
  </si>
  <si>
    <t>SERVIÇOS DE REFORMA DAS QUADRAS POLIESPORTIVAS DAS ESCOLAS JOAO FAUSTINO DE QUEIROZ E ESCOLA XV DE MARÇO. CARTA CONVITE N° 012/2016.</t>
  </si>
  <si>
    <t>CONDADO</t>
  </si>
  <si>
    <t>Construção de Creche ''Projeto Pró Infância'' (CERU)</t>
  </si>
  <si>
    <t>073/2011</t>
  </si>
  <si>
    <t>FNDE-MEC</t>
  </si>
  <si>
    <t>40.819.708/0001-60</t>
  </si>
  <si>
    <t>Construtora Cimejato LTDA</t>
  </si>
  <si>
    <t>paralizada</t>
  </si>
  <si>
    <t>TP 002/2010</t>
  </si>
  <si>
    <t>025/2010</t>
  </si>
  <si>
    <t>Trena Construções LTDA</t>
  </si>
  <si>
    <t>087/2014</t>
  </si>
  <si>
    <t>finalizado</t>
  </si>
  <si>
    <t>15.918.862/0001-75</t>
  </si>
  <si>
    <t>090/2014</t>
  </si>
  <si>
    <t>Pavimentação em Diversas Ruas do Loteamento Laranjeiras</t>
  </si>
  <si>
    <t>construção de uma unidade basica de saude porte 2</t>
  </si>
  <si>
    <t>ministerio da saude</t>
  </si>
  <si>
    <t>gorveno de estado</t>
  </si>
  <si>
    <t>17.772.572/0001-91</t>
  </si>
  <si>
    <t>Convite nº 018/2016</t>
  </si>
  <si>
    <t>03.492.867/0001-08</t>
  </si>
  <si>
    <t>CONSTRUTORA EVIDÊNCIA LTDA</t>
  </si>
  <si>
    <t>079/2013</t>
  </si>
  <si>
    <t>CORRENTES</t>
  </si>
  <si>
    <t>08
meses</t>
  </si>
  <si>
    <t>CC 001/2011</t>
  </si>
  <si>
    <t>050/2011</t>
  </si>
  <si>
    <t>TC/PAC 0283/2012</t>
  </si>
  <si>
    <t>01.514.128/0001-36</t>
  </si>
  <si>
    <t>Scave Serviços de Engenharia e Locação LTDA</t>
  </si>
  <si>
    <t>159/2012</t>
  </si>
  <si>
    <t>19.510.025/0001-63</t>
  </si>
  <si>
    <t>045/2014</t>
  </si>
  <si>
    <t>047/2014</t>
  </si>
  <si>
    <t>13.753.226/0001-05</t>
  </si>
  <si>
    <t>CORTÊS</t>
  </si>
  <si>
    <t>02/2016</t>
  </si>
  <si>
    <t>04/2016</t>
  </si>
  <si>
    <t>40.819.708/0001-93</t>
  </si>
  <si>
    <t>CONSTRUTORA CIMEJATO LTDA</t>
  </si>
  <si>
    <t>CONSTRUÇÃO DO SISTEMA DE ESGOTAMENTO SANITÁRIO DA SEDE DO MUNICÍPIO DE CORTÊS</t>
  </si>
  <si>
    <t>TC Nº 0526/2008 - FUNASA E PREF. CORTÊS TC/PAC 0179/2012</t>
  </si>
  <si>
    <t>042/12</t>
  </si>
  <si>
    <t>CONSTRUÇÃO DE CRECHE TIPO "B" FNDE - NOVA CORTÊS</t>
  </si>
  <si>
    <t>TC Nº 201627/11</t>
  </si>
  <si>
    <t>FNDE - MEC</t>
  </si>
  <si>
    <t>056/12</t>
  </si>
  <si>
    <t>11.818.611/0001-68</t>
  </si>
  <si>
    <t>CONSTRUÇÃO DE UMA QUADRA ESCOLAR COBERTA COM VESTIÁRIO NA ESCOLA SANTA TEREZINHA NO ALTO SANTA TEREZINHA NESTE MUNICPIPIO</t>
  </si>
  <si>
    <t>TC-PAC Nº 205855/2013 - FNDE</t>
  </si>
  <si>
    <t>016/2014</t>
  </si>
  <si>
    <t xml:space="preserve">CONSTRUÇÃO DE UMA QUADRA ESCOLAR COBERTA COM VESTIARIO NA ESCOLA SANTO ANTONIO EM BARRA DE JANGADA </t>
  </si>
  <si>
    <t>CONVÊNIO TC-PAC Nº 205211/2013 - FNDE</t>
  </si>
  <si>
    <t>11.717.420/0001-00</t>
  </si>
  <si>
    <t>PEDROZA VASCONCELOS EMPREENDIMENTOS LTDA</t>
  </si>
  <si>
    <t>015/2014</t>
  </si>
  <si>
    <t>032/2015</t>
  </si>
  <si>
    <t>18.668.477/0001-05</t>
  </si>
  <si>
    <t>037/2014</t>
  </si>
  <si>
    <t>CUMARU</t>
  </si>
  <si>
    <t>XXXXX</t>
  </si>
  <si>
    <t>FUNDO MUNICIPAL DE SAÚDE</t>
  </si>
  <si>
    <t>XXXXXXX</t>
  </si>
  <si>
    <t>RIO BRANCO CONSTRUTORA LTDA</t>
  </si>
  <si>
    <t>24.361.671/0001-46</t>
  </si>
  <si>
    <t>RECURSOS PROPRIOS</t>
  </si>
  <si>
    <t>03.420.484/0001-16</t>
  </si>
  <si>
    <t>CUPIRA</t>
  </si>
  <si>
    <t>CUSTÓDIA</t>
  </si>
  <si>
    <t>07.524.547/0001-35</t>
  </si>
  <si>
    <t>V &amp; A Construtora Ltda</t>
  </si>
  <si>
    <t>Concorrência nº 001/2011 Proc. Licit. Nº 030/2011</t>
  </si>
  <si>
    <t>Contratação de empresa especializada para a construção de anexo da Unidade Mista Elisabeth Barbosa</t>
  </si>
  <si>
    <t>03.332.651/0001-77</t>
  </si>
  <si>
    <t>TP nº 001/2011 Proc. Licit. Nº 027/11</t>
  </si>
  <si>
    <t>Contrato de Repasse nº 228.055-79/2007</t>
  </si>
  <si>
    <t>Ministério do Esporte/CEF</t>
  </si>
  <si>
    <t>A &amp; M Engenharia e Construções Ltda</t>
  </si>
  <si>
    <t>60/2011</t>
  </si>
  <si>
    <t>2017/2012</t>
  </si>
  <si>
    <t>Secretaria dos Transportes</t>
  </si>
  <si>
    <t>13.675.447/0001-02</t>
  </si>
  <si>
    <t>M E Construção Ltda - ME</t>
  </si>
  <si>
    <t>083/2012</t>
  </si>
  <si>
    <t>019/2012</t>
  </si>
  <si>
    <t>Secretaria dos Cidades</t>
  </si>
  <si>
    <t>084/2012</t>
  </si>
  <si>
    <t>DORMENTES</t>
  </si>
  <si>
    <t>TOMADA DE PREÇO 002/2014</t>
  </si>
  <si>
    <t>20.181.485/0001-74</t>
  </si>
  <si>
    <t>026/2014</t>
  </si>
  <si>
    <t>TOMADA DE PREÇO 003/2014</t>
  </si>
  <si>
    <t>027/2014</t>
  </si>
  <si>
    <t>128/2013</t>
  </si>
  <si>
    <t>129/2013</t>
  </si>
  <si>
    <t>14/2014</t>
  </si>
  <si>
    <t>036/2014</t>
  </si>
  <si>
    <t>MINISTERIO DAS CIDADES</t>
  </si>
  <si>
    <t>057/2014</t>
  </si>
  <si>
    <t>FUNDO ESTADUAL DE APOIO AO DESENVOLVIMENTO MUNICIPAL</t>
  </si>
  <si>
    <t>044/2014</t>
  </si>
  <si>
    <t>046/2014</t>
  </si>
  <si>
    <t>TOMADA DE PREÇO
002/2016</t>
  </si>
  <si>
    <t>03.345.210/0001-00</t>
  </si>
  <si>
    <t>ESCADA</t>
  </si>
  <si>
    <t>TP011/2014</t>
  </si>
  <si>
    <t>TP002/2013</t>
  </si>
  <si>
    <t>TP002/2015</t>
  </si>
  <si>
    <t>EXU</t>
  </si>
  <si>
    <t>10.597.626/0001-80</t>
  </si>
  <si>
    <t>CC Nº 004/2012</t>
  </si>
  <si>
    <t>Implantação do Sistema de Abastecimento de Água nas Comunidades de Zé Gomes e Adjacências.</t>
  </si>
  <si>
    <t xml:space="preserve">TC/PAC - 0666/2009 </t>
  </si>
  <si>
    <t>Liderânça Serviços de Construção e Locação de Veículos Maquinas e Ventos LTDA</t>
  </si>
  <si>
    <t>371/2012</t>
  </si>
  <si>
    <t>Moreira e Feitosa Ltda-ME</t>
  </si>
  <si>
    <t>CC Nº 007/2012</t>
  </si>
  <si>
    <t>Implantação da 2ª Etapa do Sistema de Abastecimento de Água nas Comunidades de Zé Gomes e Adjacências.</t>
  </si>
  <si>
    <t xml:space="preserve">TC/PAC - 0273/2012 </t>
  </si>
  <si>
    <t>427/2012</t>
  </si>
  <si>
    <t>CC Nº 001/2014</t>
  </si>
  <si>
    <t>S &amp; V Construtora e Serviços LTDA - ME</t>
  </si>
  <si>
    <t>TP Nº 001/2014</t>
  </si>
  <si>
    <t>TP Nº 007/2014</t>
  </si>
  <si>
    <t>CONSTRUÇÃO DE 01 (UMA) UBS TIPO 2 E REFORMA E AMPLIAÇÃO NAS UBS’S DO BAIRRO NOSSA SENHORA APARECIDA, UBS DO CENTRO, UBS DO DISTRITO DE TABOCAS, UBS DO BAIRRO WILSON MOREIRA SARAIVA E UBS DO SITIO UNIÃO NO MUNICIPIO DE EXU-PE</t>
  </si>
  <si>
    <t>10.704.604/0001-72</t>
  </si>
  <si>
    <t>253/2014</t>
  </si>
  <si>
    <t>TP Nº 008/2014</t>
  </si>
  <si>
    <t>TP Nº 012/2015</t>
  </si>
  <si>
    <t>Construção de Melhorias Sanitárias Domiciliares - MSD na zona rural do municipio de Exu-PE</t>
  </si>
  <si>
    <t xml:space="preserve">Convênio - 232/2013 </t>
  </si>
  <si>
    <t>044/2016</t>
  </si>
  <si>
    <t>TP Nº 010/2016</t>
  </si>
  <si>
    <t xml:space="preserve">RECUPERAÇÃO DAS ESTRADAS VICINAIS QUE LIGAM O SÍTIO ALTO DO FERREIRA AO SÍTIO ARACAJÚ E O SÍTIO ALTO DO UMBUZEIRO AO SITÍO SERRA DO BUCÚ NA ZONA RURAL DO MUNICIPIO DE EXU-PE </t>
  </si>
  <si>
    <t>240/2016</t>
  </si>
  <si>
    <t>Construção de divisórias na sede da Prefeitura municipal de Exu-PE, localizada na Rua Eufrásio Alencar, 13, Centro.</t>
  </si>
  <si>
    <t>251/2016</t>
  </si>
  <si>
    <t>FEIRA NOVA</t>
  </si>
  <si>
    <t>11.179.408/0001-99</t>
  </si>
  <si>
    <t>GOVERNO DO ESTADO</t>
  </si>
  <si>
    <t>17.363.675/0001-06</t>
  </si>
  <si>
    <t>04.684.200/0001-61</t>
  </si>
  <si>
    <t>023/14</t>
  </si>
  <si>
    <t>FERREIROS</t>
  </si>
  <si>
    <t>17.331.335/0001-95</t>
  </si>
  <si>
    <t>FLORES</t>
  </si>
  <si>
    <t>FLORESTA</t>
  </si>
  <si>
    <t>35.445.519/0001-68</t>
  </si>
  <si>
    <t>022/2012</t>
  </si>
  <si>
    <t>05.418.653/0001-09</t>
  </si>
  <si>
    <t>08.635.005/0001-00</t>
  </si>
  <si>
    <t>082/2013</t>
  </si>
  <si>
    <t>SEPLAG/PE</t>
  </si>
  <si>
    <t>CC 001/2015</t>
  </si>
  <si>
    <t>FREI MIGUELINHO</t>
  </si>
  <si>
    <t>PROPRIO</t>
  </si>
  <si>
    <t>17.211.017/0001-90</t>
  </si>
  <si>
    <t>FEM 2 - GOVERNO DO ESTADO</t>
  </si>
  <si>
    <t>18.544.0008.1.041</t>
  </si>
  <si>
    <t>03.226.372/0001-29</t>
  </si>
  <si>
    <t>07.279.603/0001-13</t>
  </si>
  <si>
    <t>CONSTRUTORA MATIAS SILVA LTDA</t>
  </si>
  <si>
    <t>13.662.156/0001-80</t>
  </si>
  <si>
    <t>026/2016</t>
  </si>
  <si>
    <t>TOMADA DE PREÇOS N:001/2015</t>
  </si>
  <si>
    <t>017/2015</t>
  </si>
  <si>
    <t>TOMADA DE PREÇOS N:006/2014</t>
  </si>
  <si>
    <t>PARALIZADA</t>
  </si>
  <si>
    <t>IBIRAJUBA</t>
  </si>
  <si>
    <t>Construção de UBS no sítio Cajá</t>
  </si>
  <si>
    <t>AGRESTE CONSTRUÇÃO, LOCAÇÃO E SEVIÇOS LTDA</t>
  </si>
  <si>
    <t>TP 008/2009</t>
  </si>
  <si>
    <t>PAVIMENTAÇÃO DE RUAS</t>
  </si>
  <si>
    <t>261.881-60</t>
  </si>
  <si>
    <t>MCIDADES</t>
  </si>
  <si>
    <t>OCTAGON EMPREEND. LTDA</t>
  </si>
  <si>
    <t>TP 001/2010</t>
  </si>
  <si>
    <t>300.425-87</t>
  </si>
  <si>
    <t>MTURISMO</t>
  </si>
  <si>
    <t>036/2012</t>
  </si>
  <si>
    <t>CV 012/2012</t>
  </si>
  <si>
    <t>S. CIDADES</t>
  </si>
  <si>
    <t>NORDESTE CONSTRUÇÕES</t>
  </si>
  <si>
    <t>025/2012</t>
  </si>
  <si>
    <t>CV 015/2013</t>
  </si>
  <si>
    <t>MANUT. REDE DE SANEAMENTO</t>
  </si>
  <si>
    <t>06.698.978/0001-55</t>
  </si>
  <si>
    <t>AGAS CONSTRUTORA LTDA</t>
  </si>
  <si>
    <t>TP 001/2013</t>
  </si>
  <si>
    <t>CV 007/2014</t>
  </si>
  <si>
    <t>MANUTENÇÃO DE ESCOLAS - 2º ETAPA</t>
  </si>
  <si>
    <t>GM INCORPORADORA LTDA</t>
  </si>
  <si>
    <t>08.767.035/0001-62</t>
  </si>
  <si>
    <t>MANUTENÇÃO DE GALERIAS NO DISTRITO E SEDE MUNICIPAL</t>
  </si>
  <si>
    <t>DRENAGEM DA LAGOA 01 E LAGOA 02</t>
  </si>
  <si>
    <t>ACR CONSULTORIA E PROJETOS LTDA - EPP</t>
  </si>
  <si>
    <t>MANUTENÇÃO DE PRÉDIOS PÚBLICOS MUNICIPAIS</t>
  </si>
  <si>
    <t>CV 005/2015</t>
  </si>
  <si>
    <t>EXECUÇÃO DE SERVIÇOS COMPLEMENTARES AO AÇUDE MUNICIPAL.</t>
  </si>
  <si>
    <t>IGARASSU</t>
  </si>
  <si>
    <t>Concorrência 003/2013</t>
  </si>
  <si>
    <t>05.646.333/0001-06</t>
  </si>
  <si>
    <t>MF Engenharia e equipamentos LTDA.</t>
  </si>
  <si>
    <t>Concorrência 001/2014</t>
  </si>
  <si>
    <t>Pavimentação da rua Tecelão e Pardal no Loteamento Nossa Senhora da Conceição (LOTE III)</t>
  </si>
  <si>
    <t>Barros &amp; Araujo Engenharia Ltda-EPP</t>
  </si>
  <si>
    <t>15.587.379/0001-55</t>
  </si>
  <si>
    <t xml:space="preserve">Construtora LSG Ltda-ME </t>
  </si>
  <si>
    <t>Brasilar Comércio, Indústria e Serviços de Construção LTDA-ME</t>
  </si>
  <si>
    <t>Concorrência 001/2015</t>
  </si>
  <si>
    <t>786738/2013 </t>
  </si>
  <si>
    <t>Ministério das Cidades</t>
  </si>
  <si>
    <t>04.649.283/0001-58</t>
  </si>
  <si>
    <t>Construtora Albino Teixeira Ltda - ME.</t>
  </si>
  <si>
    <t>028 / 2015</t>
  </si>
  <si>
    <t>Concorrência 002/2015</t>
  </si>
  <si>
    <t>Pavimentação com drenagem pluvial e recapeamento de vias de acesso nos pontos turisticos.</t>
  </si>
  <si>
    <t>802347/2014</t>
  </si>
  <si>
    <t>Ministério do Turismo</t>
  </si>
  <si>
    <t>031 / 2015</t>
  </si>
  <si>
    <t>Pavimentação e drenagem que serão realizadas nas novas vias urbanas (Rua Manoel Francisco Carneiro; Rua Orlando Uchôa; Rua Sabiá; Rua Anambé e Rua Peroba).</t>
  </si>
  <si>
    <t>798085/2013</t>
  </si>
  <si>
    <t>016 / 2015</t>
  </si>
  <si>
    <t>REVITALIZAÇÃO DA PRAÇA E TRECHO DA ORLA DO CAIS DE NOVA CRUZ</t>
  </si>
  <si>
    <t>784198/2013</t>
  </si>
  <si>
    <t>EMPRESA CONSTRUTORA PAULISTA LTDA.</t>
  </si>
  <si>
    <t>029 / 2015</t>
  </si>
  <si>
    <t>TOMADA DE PREÇOS 006/2015</t>
  </si>
  <si>
    <t>Requalificação da Praça da Bíblia e da Praça Avenida Duarte Coelho</t>
  </si>
  <si>
    <t>802348/2014 </t>
  </si>
  <si>
    <t>24.124.557/0001-56</t>
  </si>
  <si>
    <t>MONTE SINAI EMPREENDIMENTOS E CONSTRUÇÕES LTDA - ME</t>
  </si>
  <si>
    <t>027 / 2015</t>
  </si>
  <si>
    <t>Tomada de Preço 005/2015</t>
  </si>
  <si>
    <t>PAVIMENTAÇÃO DA RUA INDONÉSIA E ISRAEL</t>
  </si>
  <si>
    <t>055/2015</t>
  </si>
  <si>
    <t>20.422.486/0001-63</t>
  </si>
  <si>
    <t>ILHA DE ITAMARACÁ</t>
  </si>
  <si>
    <t>INAJÁ</t>
  </si>
  <si>
    <t>TP</t>
  </si>
  <si>
    <t>D BARROS CONSTRUÇOES E PROJETOS LTDA</t>
  </si>
  <si>
    <t>INGAZEIRA</t>
  </si>
  <si>
    <t>026/2013</t>
  </si>
  <si>
    <t>Consta Lira Serviços e Transporte Ltda</t>
  </si>
  <si>
    <t>026/2012</t>
  </si>
  <si>
    <t>021/2014</t>
  </si>
  <si>
    <t>17.614.228/0001-74</t>
  </si>
  <si>
    <t>Costa Lira Serviços e Transportes</t>
  </si>
  <si>
    <t>TP-001/14</t>
  </si>
  <si>
    <t>UBS</t>
  </si>
  <si>
    <t>MS</t>
  </si>
  <si>
    <t>17,614.228/0001-74</t>
  </si>
  <si>
    <t>TP-002/2013</t>
  </si>
  <si>
    <t>Construção de Quadra Poliesportiva</t>
  </si>
  <si>
    <t>TC - PAC205965/2013</t>
  </si>
  <si>
    <t>09.475.434-12</t>
  </si>
  <si>
    <t>Clara Construções Ltda-ME</t>
  </si>
  <si>
    <t>TP-002/2016</t>
  </si>
  <si>
    <t>Construção da Escola Proinfância tipo -2 na Sede do Município</t>
  </si>
  <si>
    <t>TC 32688</t>
  </si>
  <si>
    <t>Ministério do Esporte</t>
  </si>
  <si>
    <t>IPOJUCA</t>
  </si>
  <si>
    <t>11.520.665/0001-42</t>
  </si>
  <si>
    <t>13.596.559/0001-78</t>
  </si>
  <si>
    <t>VIAENCOSTA ENGENHARIA AMBIENTAL LTDA</t>
  </si>
  <si>
    <t>VIA TÉCNICA CONSTRUÇÕES E SERVIÇOS LTDA</t>
  </si>
  <si>
    <t>072/2014</t>
  </si>
  <si>
    <t>00.376.507/0001-44</t>
  </si>
  <si>
    <t>JEPAC CONSTRUÇÕES LTDA.</t>
  </si>
  <si>
    <t>41.051.046/0001-17</t>
  </si>
  <si>
    <t>40.882.060/0001-08</t>
  </si>
  <si>
    <t>IPUBI</t>
  </si>
  <si>
    <t>TP 039/2013</t>
  </si>
  <si>
    <t>SERVIÇOS DE ENGENHARIA RELATIVOS À CONSTRUÇAO DE 01 (UMA) QUADRA ESPORTIVA COBERTA NO DISTRITO DE SERRA BRANCA.</t>
  </si>
  <si>
    <t>10.528.956/0001-14</t>
  </si>
  <si>
    <t>CONSTRUTORA E LOCADORA NORBERTO MACEDO LTDA – ME</t>
  </si>
  <si>
    <t>099/2013</t>
  </si>
  <si>
    <t>TP 028/2014</t>
  </si>
  <si>
    <t>SERVIÇOS DE ENGENHARIA RELATIVOS À CONSTRUÇAO DE 01 (UM) MATADOURO PÚBLICO NA PE 590, ZONA RURAL DO DISTRITO DE SERROLÂNDIA.</t>
  </si>
  <si>
    <t>080/2014</t>
  </si>
  <si>
    <t>FUNDO ESTADUAL DE APOIO AO DESENVOLVIMENTO MUNICIPAL – FEM</t>
  </si>
  <si>
    <t>TP 032/2014</t>
  </si>
  <si>
    <t>SERVIÇOS DE ENGENHARIA RELATIVOS À CONSTRUÇAO DE 01 (UMA) ESCADARIA E ACESSO AO MONTE SANTO, NO DISTRITO DE SERRA BRANCA.</t>
  </si>
  <si>
    <t>MINISTERIO DO TURISMO/CAIXA ECONOMICA FEDERAL</t>
  </si>
  <si>
    <t>9188/2014</t>
  </si>
  <si>
    <t>02.262.405/0001-23</t>
  </si>
  <si>
    <t>AVANÇAR CONSTRUÇÕES E PROJETOS LTDA – EPP</t>
  </si>
  <si>
    <t>ITACURUBA</t>
  </si>
  <si>
    <t>ITAÍBA</t>
  </si>
  <si>
    <t>ITAPISSUMA</t>
  </si>
  <si>
    <t>PAVIMENTAÇÃO DE RUAS EM PARALELEPÍPEDOS GRANÍTICOS NAS RUAS: RUA I-BOTAFOGO (TRECHO), RUA S-BOTAFOGO, RUA P-BOTAFOGO, RUA G-BOTAFOGO (TRECHO) E RUA SÃO MIGUEL ARCANJO- LOTEAMENTO CIDADE INDUSTRIAL - CENTRO ITAPISSUMA-PE - LOTE 02</t>
  </si>
  <si>
    <t>085/2014</t>
  </si>
  <si>
    <t>02.072.733/0001-64</t>
  </si>
  <si>
    <t>TRENA CONSTRUÇÕES LTDA.</t>
  </si>
  <si>
    <t>TP006/2014*</t>
  </si>
  <si>
    <t>REFORMA DA ÁREA DE LAZER DE MANGABEIRA NO MUNICIPIO DE ITAPISSUMA-PE - LOTE 03</t>
  </si>
  <si>
    <t>CONSTRUÇÃO DO PORTICO DE ENTRADA DA CIDADE</t>
  </si>
  <si>
    <t>LCR CONSTRUTORA LTDA - EPP</t>
  </si>
  <si>
    <t>ITAQUITINGA</t>
  </si>
  <si>
    <t>EMPRESA DE URBANIZAÇÃO</t>
  </si>
  <si>
    <t>JAQUEIRA</t>
  </si>
  <si>
    <t>RECURSOS PRÓPRIOS</t>
  </si>
  <si>
    <t>TOMADA DE PREÇOS 001/2014</t>
  </si>
  <si>
    <t>CONSTRUÇÃO DE UMA QUADRA DE ESPORTES COBERTA COM VESTIARIO</t>
  </si>
  <si>
    <t>209761/2014</t>
  </si>
  <si>
    <t>PRO-INFANCIA/FNDE</t>
  </si>
  <si>
    <t>10.829.193/0001-41</t>
  </si>
  <si>
    <t>TOP CONSTRUTORA LTDA</t>
  </si>
  <si>
    <t>TOMADA DE PREÇOS 002/2015</t>
  </si>
  <si>
    <t>SENTRA SERVIÇOS E EMPREENDIMENTOS LTDA - ME</t>
  </si>
  <si>
    <t>CONCORRENCIA 001/2016</t>
  </si>
  <si>
    <t>CONSTRUÇÃO DE UMA CRECHE TIPO 1</t>
  </si>
  <si>
    <t>1012781</t>
  </si>
  <si>
    <t>CASAARTE CONSTRUÇÕES, SERVIÇOS E COMÉRCIO LTDA</t>
  </si>
  <si>
    <t>JATOBÁ</t>
  </si>
  <si>
    <t>12.343.102/0001-99</t>
  </si>
  <si>
    <t>RECURSO PRÓPRIO</t>
  </si>
  <si>
    <t>2014</t>
  </si>
  <si>
    <t>07.560.062/0001-05</t>
  </si>
  <si>
    <t>CAIXA</t>
  </si>
  <si>
    <t>FEM 3</t>
  </si>
  <si>
    <t>Encerrado</t>
  </si>
  <si>
    <t>T.P. 003/2016</t>
  </si>
  <si>
    <t>JUCATI</t>
  </si>
  <si>
    <t>CPM CONSTRUTORA LTDA - EPP</t>
  </si>
  <si>
    <t>JUPI</t>
  </si>
  <si>
    <t>CONSTRUÇÃO DE UMA QUADRA POLIESPORTIVA COM VESTIÁRIOS</t>
  </si>
  <si>
    <t>043/2014</t>
  </si>
  <si>
    <t>JUREMA</t>
  </si>
  <si>
    <t>Recursos Próprios</t>
  </si>
  <si>
    <t>236/2015</t>
  </si>
  <si>
    <t>15.342.776/0001-67</t>
  </si>
  <si>
    <t>LAGOA GRANDE</t>
  </si>
  <si>
    <t>TOMADA DE PREÇOS Nº 02/2011</t>
  </si>
  <si>
    <t>CONSTRUÇÃO DA PRAÇA DO VINHO EM VERMELHOS</t>
  </si>
  <si>
    <t xml:space="preserve"> C.R. 309.293-70/2009</t>
  </si>
  <si>
    <t>049-2011</t>
  </si>
  <si>
    <t>4.4.90.51.10</t>
  </si>
  <si>
    <t>TOMADA DE PREÇOS Nº 002-2014</t>
  </si>
  <si>
    <t>PAVIMENTAÇÃO EM PARALELEPIPEDO GRANÍTICO</t>
  </si>
  <si>
    <t>TERMO DE ADESÃO 100/2014</t>
  </si>
  <si>
    <t>04.064.599/0001-88</t>
  </si>
  <si>
    <t>ITAMORENA CONSTRUÇÕES, LOCAÇÕES E SERVIÇOS LTDA - EPP</t>
  </si>
  <si>
    <t>109-2014</t>
  </si>
  <si>
    <t>13.391.373/0001-82</t>
  </si>
  <si>
    <t>20.296.627/0001-49</t>
  </si>
  <si>
    <t>LAJEDO</t>
  </si>
  <si>
    <t>4490.51.00</t>
  </si>
  <si>
    <t>AMBRELLA CONSTRUTORA E INCORPORADORA LTDA-ME</t>
  </si>
  <si>
    <t>JMA CONSTRUÇÃO LTDA</t>
  </si>
  <si>
    <t>Concorrencia 003/15</t>
  </si>
  <si>
    <t>99/15</t>
  </si>
  <si>
    <t>RESCINDIDO</t>
  </si>
  <si>
    <t>14.780.722/0001-10</t>
  </si>
  <si>
    <t>MACAPARANA</t>
  </si>
  <si>
    <t>CC001/2014</t>
  </si>
  <si>
    <t>X-X</t>
  </si>
  <si>
    <t>TP001/2016</t>
  </si>
  <si>
    <t>TP002/2016</t>
  </si>
  <si>
    <t>05857/2013</t>
  </si>
  <si>
    <t>MANARI</t>
  </si>
  <si>
    <t>CONSTRUÇÃO DA ESCOLA ALZIRA (3° ETAPA)</t>
  </si>
  <si>
    <t xml:space="preserve">CONSTRUÇÃO DA ESCOLA SANTA LUZIA, ESPAÇO EDUCATIVO 04 SALAS PADRÃO FNDE, NO POVOADO SERA DO EXU </t>
  </si>
  <si>
    <t>18.841.952/0001-01</t>
  </si>
  <si>
    <t xml:space="preserve">ALMIR FERREIRA CONSTRUÇÃO E LOCAÇÃO EIRELI - ME </t>
  </si>
  <si>
    <t>TOMADA DE PREÇO 001/2016</t>
  </si>
  <si>
    <t>S.A SOUZA CONSTRUTORA LTDA</t>
  </si>
  <si>
    <t>MIRANDIBA</t>
  </si>
  <si>
    <t>NAZARÉ DA MATA</t>
  </si>
  <si>
    <t>056/2014</t>
  </si>
  <si>
    <t>OLINDA</t>
  </si>
  <si>
    <t>ENCERRADO</t>
  </si>
  <si>
    <t>11.481.173/0001-95</t>
  </si>
  <si>
    <t>151/2014</t>
  </si>
  <si>
    <t>OROBÓ</t>
  </si>
  <si>
    <t xml:space="preserve">MINISTÉRIO DA EDUCAÇÃO </t>
  </si>
  <si>
    <t>Distratado</t>
  </si>
  <si>
    <t>TOMADA DE PREÇO Nº 001/2015</t>
  </si>
  <si>
    <t>CONSTRUÇÃO DE 01 (UMA) QUADRA ESPORTIVA COBERTA COM VESTIÁRIO PADRÃO FNDE (25,80 X 38,00) NO SÍTIO JUNDIAÍ.</t>
  </si>
  <si>
    <t>17.808.689/0001-88</t>
  </si>
  <si>
    <t>GB CONSTRUTORA INCORPORADORA LTDA - EPP</t>
  </si>
  <si>
    <t xml:space="preserve">TOMADA DE PREÇO Nº 004/2016
</t>
  </si>
  <si>
    <t>CONSTRUÇÃO DE 03 (TRÊS) MÓDULOS DE SISTEMA SIMPLIFICADO DE ABASTECIMENTO DE ÁGUA NA ZONA RURAL DO MUNICÍPIO DE OROBÓ/ PE, LOCAL  SÍTIO ESPINHO PRETO DE CIMA, SÍTIO MULUNGU, SÍTIO CAIÇARAS.</t>
  </si>
  <si>
    <t>12.209.627/0001-36</t>
  </si>
  <si>
    <t>RTS CONSTRUÇÕES E SERVIÇOS LTDA.</t>
  </si>
  <si>
    <t xml:space="preserve">TOMADA DE PREÇO Nº 002/2016
</t>
  </si>
  <si>
    <t>CONCLUSÃO DA CONSTRUÇÃO DE 01 (UMA) QUADRA ESPORTIVA COBERTA COM VESTIÁRIO PADRÃO FNDE (25,80 X 38,00) NO SÍTIO ENCRUZILHADA (MANIBU)</t>
  </si>
  <si>
    <t>11.508.867/0001-79</t>
  </si>
  <si>
    <t>KADORE COMERCIO E SERVIÇOS TERCEIRIZADOS LTDA.</t>
  </si>
  <si>
    <t>OROCÓ</t>
  </si>
  <si>
    <t>23.351.389/0001-15</t>
  </si>
  <si>
    <t>PALMARES</t>
  </si>
  <si>
    <t>PANELAS</t>
  </si>
  <si>
    <t>CONSTRUTORA ALTO DO MOURA</t>
  </si>
  <si>
    <t>159/2015</t>
  </si>
  <si>
    <t>17.376.546/0001-44</t>
  </si>
  <si>
    <t>164/2014</t>
  </si>
  <si>
    <t>13.253.384/0001-04</t>
  </si>
  <si>
    <t>JVS CONSTRUTORA LTDA</t>
  </si>
  <si>
    <t>CV 010/2015</t>
  </si>
  <si>
    <t>PARANATAMA</t>
  </si>
  <si>
    <t>TP003/2015</t>
  </si>
  <si>
    <t>CONTRATAÇÃO DE EMPRESA ESPECIALIZADA PARA EXECUÇÃO DE SERVIÇO DE ENGENHARIA PARA CONSTRUÇÃO DA QUADRA COBERTA COM VESTUÁRIO (25,80X38M), NO POVOADO BREJO VELHO – ZONA RURAL - PARANATAMA</t>
  </si>
  <si>
    <t>CONSTRUMAR ENGENHARIA LTDA</t>
  </si>
  <si>
    <t>051/2015</t>
  </si>
  <si>
    <t>SERVIÇOS DE ENGENHARIA</t>
  </si>
  <si>
    <t>CONTRATO RESCINDIDO/ABANDONO DE OBRA</t>
  </si>
  <si>
    <t>CONTRATAÇÃO DE EMPRESA ESPECIALIZADA PARA EXECUÇÃO DOS SERVIÇOS REMANESCENTES DA OBRA ACADEMIA DAS CIDADES.</t>
  </si>
  <si>
    <t>SECRETARIA DAS CIDADES</t>
  </si>
  <si>
    <t>ADRIANE TRANSPORTE E CONSTRUTORA LTDA-ME</t>
  </si>
  <si>
    <t>020/2014</t>
  </si>
  <si>
    <t>EXECUÇÃO DE SERVIÇOS</t>
  </si>
  <si>
    <t>S.A SOUZA CONSTRUTORA LTDA-EPP</t>
  </si>
  <si>
    <t>OBRA</t>
  </si>
  <si>
    <t>TP003/2011</t>
  </si>
  <si>
    <t>CONTRATAÇÃO DE EMPRESA ESPECIALIZADA PARA EXECUÇÃO DE SERVIÇO DE ENGENHARIA PARA RECUPERAÇÃO DA PRAÇA JOÃO CORREIA DE ASSIS</t>
  </si>
  <si>
    <t>TP001/2015</t>
  </si>
  <si>
    <t>040/2015</t>
  </si>
  <si>
    <t>BL CONSTRUTORA E SERVIÇOS LTDA - ME</t>
  </si>
  <si>
    <t>PARNAMIRIM</t>
  </si>
  <si>
    <t>PAUDALHO</t>
  </si>
  <si>
    <t>SIM</t>
  </si>
  <si>
    <t>01.372.302/0001-53</t>
  </si>
  <si>
    <t>07.432.457/0001-14</t>
  </si>
  <si>
    <t>08.207.284/0001-01</t>
  </si>
  <si>
    <t>09.468.539/0001-44</t>
  </si>
  <si>
    <t>FUNDARPE</t>
  </si>
  <si>
    <t>12.644.934/0001-45</t>
  </si>
  <si>
    <t>PRISMA ENGENHARIA LTDA - EPP</t>
  </si>
  <si>
    <t>054/2015</t>
  </si>
  <si>
    <t>FUNDO NACIONAL DE DESENVOLVIMENTO DA EDUCAÇÃO - FNDE</t>
  </si>
  <si>
    <t>PAULISTA</t>
  </si>
  <si>
    <t>MINISTÉRIO DAS CIDADES/CAIXA</t>
  </si>
  <si>
    <t>CONSTRUTORA ANCAR LTDA.</t>
  </si>
  <si>
    <t>MINISTÉRIO DA INTEGRAÇÃO NACIONAL</t>
  </si>
  <si>
    <t>CC 003/2014</t>
  </si>
  <si>
    <t>CC 003/2015</t>
  </si>
  <si>
    <t>TP 004/2013</t>
  </si>
  <si>
    <t>PEDRA</t>
  </si>
  <si>
    <t>x</t>
  </si>
  <si>
    <t>031/2014</t>
  </si>
  <si>
    <t>032/2014</t>
  </si>
  <si>
    <t>3.3.90.39.99</t>
  </si>
  <si>
    <t>3.3.90.36.06</t>
  </si>
  <si>
    <t>PESQUEIRA</t>
  </si>
  <si>
    <t>PAEZINHO EMPREITEIRA &amp; CONSTRUTORA LTDA</t>
  </si>
  <si>
    <t>F.M.C. CONSTRUTORA LTDA</t>
  </si>
  <si>
    <t>07.409.413/0001-73</t>
  </si>
  <si>
    <t>CONSTRUTORA CAVALCANTI LTDA ME</t>
  </si>
  <si>
    <t>TP/Nº050/2015</t>
  </si>
  <si>
    <t>CONSTRUÇÃO DE 01 (UMA) ESCOLA/CRECHE DE EDUCAÇÃO INFANTIL PROINFÂNCIA TIPO 02, CONFORME PADRÃO FNDE, NO DISTRITO DE PAPAGAIO.</t>
  </si>
  <si>
    <t>PETROLÂNDIA</t>
  </si>
  <si>
    <t>037/2016</t>
  </si>
  <si>
    <t>PETROLINA</t>
  </si>
  <si>
    <t>Tomada de Preço nº 007/2010</t>
  </si>
  <si>
    <t>Contratação de empresa especializada para prestação de serviços de engenharia civil, relativa a implantação de quadras, poliesportivas descobertas e equipadas, localizadas nos nucleos N1, N2, N3,N4,N5,N6,N7,N8,N9, N10 e N11, do Projeto de Irrigação Senador Nilo Coelho.</t>
  </si>
  <si>
    <t>309.109-33/2009</t>
  </si>
  <si>
    <t>CONSTRUTORA VENÂNCIO LTDA</t>
  </si>
  <si>
    <t>268/2010</t>
  </si>
  <si>
    <t>Conlusão 17/10/2015</t>
  </si>
  <si>
    <t>Concluida.</t>
  </si>
  <si>
    <t>Convite nº 005/2010</t>
  </si>
  <si>
    <t>Prestação de serviços de engenharia civil relativa à construção do Centro de Referência em Assistência Social - CRAS.</t>
  </si>
  <si>
    <t>313.637-03/2009</t>
  </si>
  <si>
    <t>Ministério do Desenvolvimento Social</t>
  </si>
  <si>
    <t>CONTRUTORA VENÂNCIO LTDA</t>
  </si>
  <si>
    <t>421/2011</t>
  </si>
  <si>
    <t>Tomada de Preços nº 013/2011</t>
  </si>
  <si>
    <t>Prestação de serviços de engenharia civil relativos à reforma e adequação da Escola Municipal de Ensino Fundamental Nossa Senhora Rainha dos Anjos - CAIC, localizada no bairro Cohab IV/Massangano, neste município de Petrolina-PE, conforme solicitação expressa da Secretaria  Municipal de Educação.</t>
  </si>
  <si>
    <t>10.895.444/0001-25</t>
  </si>
  <si>
    <t>Em andamento.</t>
  </si>
  <si>
    <t>Convite nº 027/2012</t>
  </si>
  <si>
    <t>Prestação de serviços de engenharia relativos à reforma em prédio pertencente ao município para implantação da Casa do Mel no Distrito do Capim neste município, conforme solicitação da Secretaria  de Desenvolvimento Rural.</t>
  </si>
  <si>
    <t>140/2012</t>
  </si>
  <si>
    <t>Concorrência Nacional nº 006/2011</t>
  </si>
  <si>
    <t>Prestação de serviços de engenharia relativos a adequação do Sistema de Esgotamento Sanitário do bairro Antônio Cassimiro, conforme solicitação expressa da Secretaria  Municipal de Infraestrutura e Mobilidade Urbana.</t>
  </si>
  <si>
    <t>218.068-11/2007</t>
  </si>
  <si>
    <t>372/2011</t>
  </si>
  <si>
    <t>Concorrência Nacional nº 005/2011</t>
  </si>
  <si>
    <t>Prestação de serviços de engenharia relativos a adequação do Sistema de Esgotamento Sanitário do bairro Dom Avelar, conforme solicitação expressa da Secretaria  Municipal de Infraestrutura e Mobilidade Urbana.</t>
  </si>
  <si>
    <t>223.728-96/2007</t>
  </si>
  <si>
    <t>359/2011</t>
  </si>
  <si>
    <t>Concorrência nº 006/2012</t>
  </si>
  <si>
    <t>Prestação de serviços de engenharia relativos à construção de quadra poliesportiva na escola municipal Profª Maria Luiza Barbosa, Projeto Senador Nilo Coelho N-10, referente ao Lote 11, conforme solicitação expressa da Secretaria Municipal de Educação.</t>
  </si>
  <si>
    <t>CF ENGENHARIA LTDA</t>
  </si>
  <si>
    <t>184/2012</t>
  </si>
  <si>
    <t>Tomada de Preços nº 010/2012</t>
  </si>
  <si>
    <t>Prestação de serviços de engenharia relativos à reforma de Unidade Básica de Saúde Miguel de Lima Durando, referente ao Lote 02 - Bairro Loteamento Recife, conforme solicitação expressa do Fundo Municipal de Saúde.</t>
  </si>
  <si>
    <t>GOITÁ CONSTRUÇÕES E SERVIÇOS LTDA</t>
  </si>
  <si>
    <t>211/2012</t>
  </si>
  <si>
    <t>Concorrência Nacional nº 006/2012</t>
  </si>
  <si>
    <t>Prestação de serviços de engenharia relativos à construção de quadra poliesportiva na escola municipal Luis Rodrigues de Araújo, referente ao Lote 02 - Bairro Santa Luzia, conforme solicitação expressa da Secretaria Municipal de Educação.</t>
  </si>
  <si>
    <t>185/2012</t>
  </si>
  <si>
    <t>Prestação de serviços de engenharia relativos à construção de quadra poliesportiva na escola municipal Profª Maria Odete Sampaio, referente ao Lote 01 - bairro Jardim São Paulo, conforme solicitação expressa da Secretaria Municipal de Educação.</t>
  </si>
  <si>
    <t>ARCO ENGENHARIA CONSTRUÇÕES LTDA</t>
  </si>
  <si>
    <t>183/2012</t>
  </si>
  <si>
    <t>Tomada de Preços nº 021/2012</t>
  </si>
  <si>
    <t>Prestação de serviços de engenharia relativos à reforma de Unidade Básica de Saúde da seguintes localidade: do bairro Cosme e Damião, referente ao Lote 01, conforme solicitação expressa do Fundo Municipal de Saúde.</t>
  </si>
  <si>
    <t>292/2012</t>
  </si>
  <si>
    <t>Tomada de Preços 012/2012</t>
  </si>
  <si>
    <t>Prestação de serviços de engenharia relativos à implantação do Pátio da Feira do bairro José e Maria no município de Petrolina-PE.</t>
  </si>
  <si>
    <t>12.790.499/0001-67</t>
  </si>
  <si>
    <t>CONSTEMA CONSTRUTORA E EMPREENDIMENTOS LTDA</t>
  </si>
  <si>
    <t>233/2012</t>
  </si>
  <si>
    <t>Concorrência Nacional nº 008/2012</t>
  </si>
  <si>
    <t>Prestação de serviços de engenharia relativos à Construção de 01(uma) Praça dos Esportes e da Cultura-PEC-modelo 3.000m², no Bairro Rio Corrente, no município de Petrolina-PE.</t>
  </si>
  <si>
    <t>363.424-88/2011</t>
  </si>
  <si>
    <t>Ministério da Cultura</t>
  </si>
  <si>
    <t>278/2012</t>
  </si>
  <si>
    <t>Concluída.</t>
  </si>
  <si>
    <t>Concorrência Nacional nº 001/2013</t>
  </si>
  <si>
    <t>Prestação de serviços de engenharia relativos à implantação de infraestrutura e equipamentos comunitários (AME e Clube do Bairro) no Loteamento Cacheado e no Bairro Pedra Linda.</t>
  </si>
  <si>
    <t>352.712-48/2011</t>
  </si>
  <si>
    <t>Tomada de Preço nº006/2013</t>
  </si>
  <si>
    <t>Prestação de serviços de engenharia relativos à Urbanização e Revitalização da Orla Fluvial do município de Petrolina-PE.</t>
  </si>
  <si>
    <t>372.580-78/2011</t>
  </si>
  <si>
    <t>24.339.822/0001-60</t>
  </si>
  <si>
    <t>ENGECOL ENGENHARIA E CONSTRUÇÃO CIVIL LTDA</t>
  </si>
  <si>
    <t>153/2013</t>
  </si>
  <si>
    <t>Tomada de Preço nº004/2013</t>
  </si>
  <si>
    <t>Prestação de serviços de engenharia relativos à implantação de Infraestrutura esportiva no Bairro Quati II (Clube do Bairro) no Município de Petrolina-PE.</t>
  </si>
  <si>
    <t>363.088-10/2011</t>
  </si>
  <si>
    <t>150/2013</t>
  </si>
  <si>
    <t>Tomada de Preços nº 019/2014</t>
  </si>
  <si>
    <t>Prestação de serviços de engenharia relativos à Pavimentação Asfaltica em CBUQ- Concreto Betuminoso Usinado a Quente na Orla III, no município de Petrolina-PE.</t>
  </si>
  <si>
    <t>251/2014</t>
  </si>
  <si>
    <t>Tomada de Preços nº 030/2014</t>
  </si>
  <si>
    <t>Prestação de serviços de engenharia relativos à pavimentação em paralelepipedo, do estacionamento do prédio da Guarda Municipal, pertecente a Segurança Cidadã,  no município de Petrolina-PE.</t>
  </si>
  <si>
    <t>06.045.985/0001-58</t>
  </si>
  <si>
    <t>BRAÇOS FORTES TRANSPORTES E CONSTRUÇÕES LTDA-ME</t>
  </si>
  <si>
    <t>368/2014</t>
  </si>
  <si>
    <t>Ministério dos Esportes</t>
  </si>
  <si>
    <t>Tomada de Preço nº 269/2014</t>
  </si>
  <si>
    <t>269/2014</t>
  </si>
  <si>
    <t>Tomada de Preço nº 024/2014</t>
  </si>
  <si>
    <t>270/2014</t>
  </si>
  <si>
    <t>Tomada de Preço nº 025/2014</t>
  </si>
  <si>
    <t>02.725.652/0001-19</t>
  </si>
  <si>
    <t>273/2014</t>
  </si>
  <si>
    <t>Tomada de Preço nº 036/2014</t>
  </si>
  <si>
    <t>Prestação de serviços de engenharia relativos á implantação da unidade de apoio á distribuição de alimentos da Agricultura Familiar no bairro do Quati II, no municipio de petrolina-PE.</t>
  </si>
  <si>
    <t>398.199-93/2012</t>
  </si>
  <si>
    <t>Ministerio do Desenvolvimento Social e Combate a Fome</t>
  </si>
  <si>
    <t>397/2014</t>
  </si>
  <si>
    <t>Desenvolvimento e Combate a Fome</t>
  </si>
  <si>
    <t>226/2014</t>
  </si>
  <si>
    <t>Tomada de Preço nº 018/2014</t>
  </si>
  <si>
    <t>242/2014</t>
  </si>
  <si>
    <t>Tomada de Preço nº 017/2014</t>
  </si>
  <si>
    <t>243/2014</t>
  </si>
  <si>
    <t>Tomada de Preço nº 034/2014</t>
  </si>
  <si>
    <t>Prestação de serviços de engenharia relativos á implatação de Unidade de Biomasa no bairro Pedra Linda, no municipio de Petrolina-PE.</t>
  </si>
  <si>
    <t>Fundo Clima</t>
  </si>
  <si>
    <t>352/2014</t>
  </si>
  <si>
    <t>Convite nº 018/2014</t>
  </si>
  <si>
    <t>5391310/0001-36</t>
  </si>
  <si>
    <t>GOITA CONSTRUÇÕES E SERVIÇOS LTDA</t>
  </si>
  <si>
    <t>148/2014</t>
  </si>
  <si>
    <t>Tomada de Preço nº 014/2014</t>
  </si>
  <si>
    <t>219/2014</t>
  </si>
  <si>
    <t>Pregão Presencial nº 198/2015</t>
  </si>
  <si>
    <t xml:space="preserve">Prestação de serviços de profissional Técnico em Edificações </t>
  </si>
  <si>
    <t>092.825.244-26</t>
  </si>
  <si>
    <t>ELLISON FERNANDO DE SÁ NEVES</t>
  </si>
  <si>
    <t>373/2015</t>
  </si>
  <si>
    <t>Drenagem de águas pluviais na Rua Severo Dunga (rua 19), no bairro São Gonçalo</t>
  </si>
  <si>
    <t>PPV - SERVIÇOS E CONSTRUÇÕES LTDA - EPP</t>
  </si>
  <si>
    <t>Prestação de serviço de engenharia civil  relativos à Drenagem de águas pluviais nas ruas: 11,12,13,14,15, Avenida principal do bairro Vila Eulália, Rua 01,03 e Avenida 02 do bairro Rio Claro, no municipio de Petrolina</t>
  </si>
  <si>
    <t>Tomada de Preço nº 014/2015</t>
  </si>
  <si>
    <t>Prestação de serviços de engenharia vicil realtivos à ampliação do cemitério Campo da Paz, no bairro Henrique Leite, no município de Petrolina - PE</t>
  </si>
  <si>
    <t>05.391.310/0001-06</t>
  </si>
  <si>
    <t>Tomada de Preço nº 038/2015</t>
  </si>
  <si>
    <t xml:space="preserve">Relativo à reforma da Coordenadoria Geral de Licitações e Convênios no Municipio de Petrolina </t>
  </si>
  <si>
    <t>17.578.747/0001-24</t>
  </si>
  <si>
    <t xml:space="preserve">CONSTRUTORA OLIVEIRA </t>
  </si>
  <si>
    <t>368/2015</t>
  </si>
  <si>
    <t xml:space="preserve">_ </t>
  </si>
  <si>
    <t>Prestação de serviços de engenharia civil relativo à execução de uma Praça no Distrito de Rajada</t>
  </si>
  <si>
    <t>424/2015</t>
  </si>
  <si>
    <t>Tomada de Preço nº 048/2015</t>
  </si>
  <si>
    <t>Prestação de serviços  de engenharia civil relativos à execução do piso do galpão e acesso em paralelepípedos da Unidade da Biomassa no município de Petrolina</t>
  </si>
  <si>
    <t>425/2015</t>
  </si>
  <si>
    <t>Tomada de Preço nº 053/2015</t>
  </si>
  <si>
    <t>Prestação de serviços de engenharia civil relativo à reforma da Praça de Cristália</t>
  </si>
  <si>
    <t>450/2015</t>
  </si>
  <si>
    <t>Tomada de Preço nº 046/2015</t>
  </si>
  <si>
    <t>Prestação de serviço de engenharia civil relativo ao retrabalho da pavimentação em paralelepípedos e calçada, na Avenida 01 do bairro Pedro Raimundo, no município de Petrolina - PE</t>
  </si>
  <si>
    <t>OLIVEIRA DIAS TRANSPORTES  E SERVIÇOS LTDA- EPP</t>
  </si>
  <si>
    <t>435/2015</t>
  </si>
  <si>
    <t>Prestação de serviço de engenharia civil relativo a Adequação da Vias de Trânsito da Av. da Integração e Mons. Ângelo Sampaio</t>
  </si>
  <si>
    <t>449/2015</t>
  </si>
  <si>
    <t>Concorrência Nacional nº 014/2015</t>
  </si>
  <si>
    <t>Prestação de serviço de engenharia civil relativo à Reforma do Parque  Municipal Josefa Coelho</t>
  </si>
  <si>
    <t>317/2015</t>
  </si>
  <si>
    <t>Tomada de Preço nº 009/2015</t>
  </si>
  <si>
    <t>Contratação de empresa especializada para prestação de serviços de engenharia civil, relativos à construção de Clubes do Bairro no Projeto Senador Nilo Coelho: N1,N2,N3,N4, N5,N6, N7,N8,N9,N10,N11,N12, Projeto Bebedouro, Pau Ferro, Izacolândia e Rajada, no municipio de Petrolina</t>
  </si>
  <si>
    <t>14.930.757/0001-99</t>
  </si>
  <si>
    <t>SETE CONSTRUÇÕES LTDA</t>
  </si>
  <si>
    <t>191/2015</t>
  </si>
  <si>
    <t>Tomada de Preço nº 021/2015</t>
  </si>
  <si>
    <t>Prestação de serviço de engenharia relativo à pavimentação da Rua Beberibe, no bairro José e Maria</t>
  </si>
  <si>
    <t>1.010.039-01/2014</t>
  </si>
  <si>
    <t>224/2015</t>
  </si>
  <si>
    <t>Concorrência nº 013/2015</t>
  </si>
  <si>
    <t>Relativo à Urbanização do Pátio de Eventos Ana das Carrancas no Municipio de Petrolina</t>
  </si>
  <si>
    <t>1.013.894-54/2014</t>
  </si>
  <si>
    <t>225/2015</t>
  </si>
  <si>
    <t>10/12/02015</t>
  </si>
  <si>
    <t>Tomada de Preço nº 018/2015</t>
  </si>
  <si>
    <t>Prestação de serviço de engenharia relativos a pavimentação com intertravado na Rua José Inácio Pereira, localizada no Bairro Alto do Cocar, no município de Petrolina</t>
  </si>
  <si>
    <t>1.005.390-61/2013</t>
  </si>
  <si>
    <t>PLANEJAMENTO URBANO</t>
  </si>
  <si>
    <t>12.574539/0001-33</t>
  </si>
  <si>
    <t>218/2015</t>
  </si>
  <si>
    <t>Dispensa de Licitação nº 207/2015</t>
  </si>
  <si>
    <t>Prestação de serivço de engenharia civil relativos a colocação de portões e alambrados de proteção na Ilha do Fogo, no municipio de Petrolina</t>
  </si>
  <si>
    <t>17.758.747/0001-24</t>
  </si>
  <si>
    <t>344/2015</t>
  </si>
  <si>
    <t>Tomada de Preço nº 008/2015</t>
  </si>
  <si>
    <t>Prestação de serviço de engenharia civil relativo ao retralho no Centro de Referencia em Assistênica Social CRAS, no bairro João de Deus.</t>
  </si>
  <si>
    <t>144/2015</t>
  </si>
  <si>
    <t>Convite nº 007/2015</t>
  </si>
  <si>
    <t>Prestação de serviço de engenharia civil realtivos à Reforma da Sala da Ouvidoria do municipio de Petrolina</t>
  </si>
  <si>
    <t>05.391.310/0001-36</t>
  </si>
  <si>
    <t>094/2015</t>
  </si>
  <si>
    <t>Tomada de Preço nº 006/2015</t>
  </si>
  <si>
    <t>Prestação de serviço de engenharia relativo à Implantação do Pátio da Feira no Bairro José e Maria, no municipio de Petrolina</t>
  </si>
  <si>
    <t>155/2015</t>
  </si>
  <si>
    <t>Tomada de Preço nº 003/2015</t>
  </si>
  <si>
    <t>Prestação de serviço de engenharia civil realtivos à finalização da construção da sede propria do Instituto de Gestão Previdenciaria do municipio de Petrolina</t>
  </si>
  <si>
    <t>110/2015</t>
  </si>
  <si>
    <t>Tomada de Preço nº 143/2015</t>
  </si>
  <si>
    <t>Prestação  de serviços de engenharia civil reltativos ao retrabalho do Sistema de Esgotamento Sanitario no Bairro Antonio Cassimiro, no municipio de Petrolina</t>
  </si>
  <si>
    <t>Tomada de Preço nº 0040/2014</t>
  </si>
  <si>
    <t>Prestação de serviços de engenharia civil relativo à contrução de 01 praça no bairro Santa Luzia, no municipio de Petrolina</t>
  </si>
  <si>
    <t>Prestação de serviços de engenharia civil relativo à reforma da Procuradoria Geral do municipio</t>
  </si>
  <si>
    <t>091/2015</t>
  </si>
  <si>
    <t>Dispensa de Licitação nº 370/2014</t>
  </si>
  <si>
    <t>Prestação de seviços de engenharia civil para recuperação da placa de concreto do canal do Rio Corrente/São Gonçalo</t>
  </si>
  <si>
    <t>Convite nº 010/2015</t>
  </si>
  <si>
    <t>Prestação de serviço de engenharia civil relativo a reforma da sala tecnica - Sede a Secretaria de Infraestrutura e Mobilidade Urbana no municipio de Petrolina</t>
  </si>
  <si>
    <t>Tomada de Preço nº 061/2015</t>
  </si>
  <si>
    <t>Execução de Serviços de Engenharia Civi relativos  à Execução de Piso em Concreto  e Rampas de acesso dos Canteiros da Av. José de Sá Maciel</t>
  </si>
  <si>
    <t>NOVE ENGENHARIA LTDA</t>
  </si>
  <si>
    <t>464/2015</t>
  </si>
  <si>
    <t>Tomada de Preço nº 005/2016</t>
  </si>
  <si>
    <t>Execução de Serviços de Engenharia civil relativo à reforma da Praça no Bairro Cohab Massangano</t>
  </si>
  <si>
    <t>Tomada de Preço nº 058/2015</t>
  </si>
  <si>
    <t>Execução de Serviços de Engenharia civil relativos à reforma da Praça no Bairro Vila Eduardo</t>
  </si>
  <si>
    <t>09.203.262/0001-28</t>
  </si>
  <si>
    <t>ASS CONSTRUTORA TRANSPORTE E SERVIÇOS LTDA EPP</t>
  </si>
  <si>
    <t>Concorrência Nacional 005/2016</t>
  </si>
  <si>
    <t>Implantação de 01 (um) Clube do Bairro no Rio Corrente</t>
  </si>
  <si>
    <t>273/2016</t>
  </si>
  <si>
    <t>Implantação de 02 (dois) Clube do Bairro no São Gonçalo e Gercino Coelho</t>
  </si>
  <si>
    <t>05.384.786/0001-01</t>
  </si>
  <si>
    <t>FIX CONSTRUÇÕES E SERVIÇOS LTDA</t>
  </si>
  <si>
    <t>274/2016</t>
  </si>
  <si>
    <t>Tomada de Preço 013/2016</t>
  </si>
  <si>
    <t>Construção de Centro de Referencia Especializado - CENTRO POP</t>
  </si>
  <si>
    <t>176/2016</t>
  </si>
  <si>
    <t>Tomada de Preço 011/2016</t>
  </si>
  <si>
    <t>Construção do Centro de Coleta Seletiva, no Loteamento Recife</t>
  </si>
  <si>
    <t>172/2016</t>
  </si>
  <si>
    <t>POÇÃO</t>
  </si>
  <si>
    <t>POMBOS</t>
  </si>
  <si>
    <t>03.065.862/0001-90</t>
  </si>
  <si>
    <t>CONSERV COMERCIAL E ENGENHARIA LTDA</t>
  </si>
  <si>
    <t>PARALISADA AGUARDANDO RECURSOS</t>
  </si>
  <si>
    <t>074/2015</t>
  </si>
  <si>
    <t>QUIPAPÁ</t>
  </si>
  <si>
    <t>RECIFE</t>
  </si>
  <si>
    <t>XEXÉU</t>
  </si>
  <si>
    <t>PORTO DA CONSTRUÇÃO LTDA - EPP</t>
  </si>
  <si>
    <t>3.3.90.36.45</t>
  </si>
  <si>
    <t>VITÓRIA DE SANTO ANTÃO</t>
  </si>
  <si>
    <t>Construção da Praça do PAC</t>
  </si>
  <si>
    <t>Conserv Comercial e Engenharia Ltda</t>
  </si>
  <si>
    <t>Construtora Solo Ltda - ME</t>
  </si>
  <si>
    <t>Construção da Quadra Coberta com Vestiário para Escola Jornalistsa Assis Chateaubriand</t>
  </si>
  <si>
    <t>Rio Branco Construtora EIRELI EPP</t>
  </si>
  <si>
    <t>097/2015</t>
  </si>
  <si>
    <t>Serviço de Reposiçaõ em Pedras Graníticas (Tapa Buraco) em Diversos Bairros da Cidade de Vitória de Santo Antão</t>
  </si>
  <si>
    <t>.4.4.90.51</t>
  </si>
  <si>
    <t>Construção da Ponte da Militina Sobre o Rio Tapacurá no Loteamento Conceição</t>
  </si>
  <si>
    <t>22.990.537/0001-89</t>
  </si>
  <si>
    <t>Gap Construtora EIRELI EPP</t>
  </si>
  <si>
    <t>Reforma e Ampliação de Cinco Escolas Municipais no Perimetro Urbano no Municipio de Vitória de Santo Antão</t>
  </si>
  <si>
    <t>12.272.426/0001-83</t>
  </si>
  <si>
    <t>Harpia Construção, Comercio e Saerviços EIRELI - EPP</t>
  </si>
  <si>
    <t>Reforma da Praça Diogo de Braga no Municipio de Vitória de Santo Antão</t>
  </si>
  <si>
    <t>Moreira Silva Comércio, Locação e Serviços EIRELI - EPP</t>
  </si>
  <si>
    <t>Construção de 2 Quadras Cobertas com Vestiário para Escola Municipal Duque de Caxias e Colegio Comercial no Municipio de Vitória de Santo Antão</t>
  </si>
  <si>
    <t>17.129.658/0001-63</t>
  </si>
  <si>
    <t>Arraial Construções de Edificios Ltda</t>
  </si>
  <si>
    <t>Pavimentação em Pedras Graniticas no Loteamento Ivete Lira no Bairro Jardim Ipiranga e Loteamento Stio do Meio no Bairro de Lidia Queiroz</t>
  </si>
  <si>
    <t>Construção da Praça Jardim Ipiranga no Municipio de Vitória de Santo Antão</t>
  </si>
  <si>
    <t>07.640.020/0001-76</t>
  </si>
  <si>
    <t>Constrol Construtora Olindense Ltda - ME</t>
  </si>
  <si>
    <t>079/2016</t>
  </si>
  <si>
    <t>VICÊNCIA</t>
  </si>
  <si>
    <t>049/2014</t>
  </si>
  <si>
    <t>Contrução de uma Unidade Básica de Saúde Tipo 1 Localizada Sitio Tejo</t>
  </si>
  <si>
    <t>13.515.645/0001-49</t>
  </si>
  <si>
    <t>TR Contrutora LTDA - ME</t>
  </si>
  <si>
    <t>VERTENTES</t>
  </si>
  <si>
    <t>CEHAB</t>
  </si>
  <si>
    <t>CV Nº 005/2014 – PROCESSO LICITATÓRIO Nº 013/2014</t>
  </si>
  <si>
    <t>SINALIZAÇÃO VERTICAL DE PAVIMENTAÇÃO ASFÁLTICA NAS RUAS: TEIXEIRA DE FREITAS, JOSÉ BEZERRA, PEDRO CAVALCANTI E LANDELINO MANOEL DE AZEVEDO, NA CIDADE DE VERTENTES</t>
  </si>
  <si>
    <t>C&amp;M CONSTRUTORA E PRESTADORA DE SERVIÇOS LTDA-ME</t>
  </si>
  <si>
    <t>PROQUALYT ENGENHARIA LTDA</t>
  </si>
  <si>
    <t xml:space="preserve">CONCLUÍDA </t>
  </si>
  <si>
    <t>TP Nº 002/2016 – PROCESSO LICITATÓRIO Nº 009/2016</t>
  </si>
  <si>
    <t>CONSTRUÇÃO DE UM SISTEMA PÚBLICO DE ABASTECIMENTO D'ÁGUA NO DISTRITO SERRA SECA, EM VERTENTES -PE</t>
  </si>
  <si>
    <t>SCAVE – SERVIÇOS DE ENGENHARIA E LOCAÇÃO</t>
  </si>
  <si>
    <t>CONSTRUÇÃO DE PAVIMENTAÇÃO, EM PARALELEPÍPEDOS GRANÍTICOS, NOS SÍTIOS MARINHO, RIACHO DIREITO, BARREIRA VERMELHA, E NOS DISTRITOS LIVRAMENTO E SERRA SECA</t>
  </si>
  <si>
    <t>SANDRA S. DE SOUZA CONSTRUÇÃO EIRELI – EPP</t>
  </si>
  <si>
    <t>138/2016</t>
  </si>
  <si>
    <t>RECURSO PROPRIO</t>
  </si>
  <si>
    <t>TP Nº 006/2014</t>
  </si>
  <si>
    <t>CONSTRUÇÃO DE 01 (UMA) ACADEMIA DA SAÚDE</t>
  </si>
  <si>
    <t>TP Nº 005/2014</t>
  </si>
  <si>
    <t>VERDEJANTE</t>
  </si>
  <si>
    <t>03.792.129/0001-78</t>
  </si>
  <si>
    <t>EWG SERVIÇOS LTDA</t>
  </si>
  <si>
    <t>17.450.606/0001-21</t>
  </si>
  <si>
    <t>09.469.550/0001-29</t>
  </si>
  <si>
    <t>VENTUROSA</t>
  </si>
  <si>
    <t>205862/2013</t>
  </si>
  <si>
    <t>PAC 02 FNDE</t>
  </si>
  <si>
    <t>060/2014</t>
  </si>
  <si>
    <t>11.427.397/0001-19</t>
  </si>
  <si>
    <t>NORDESTE CONSTRUÇÕES INSTALAÇÕES E LOCAÇÕES LTDA</t>
  </si>
  <si>
    <t>CONTRATAÇÃO DE EMPRESA PARA IMPLANTAÇÃO DO SAA (SISTEMA DE ABASTECIMENTO DE ÁGUA) NO POVOADO PEDRA FIXE – VENTUROSA – PE</t>
  </si>
  <si>
    <t>TC0550/2008</t>
  </si>
  <si>
    <t>TUPARETAMA</t>
  </si>
  <si>
    <t>CONSTRUTORA CANTEIRO DE OBRAS LTDA-ME</t>
  </si>
  <si>
    <t>...</t>
  </si>
  <si>
    <t xml:space="preserve">FEM </t>
  </si>
  <si>
    <t>TRINDADE</t>
  </si>
  <si>
    <t>FNDE/MINISTÉRIO DA EDUCAÇÃO</t>
  </si>
  <si>
    <t>TOMADA DE PREÇO Nº 029/2014, PROCESSO LICITATÓRIO Nº 002/2014 E CONTRATO Nº 047/2014</t>
  </si>
  <si>
    <t>EXECUÇÃO DE OBRAS DE PAVIMENTAÇÃO EM PARALELEPIPEDOS GRANITOS NAS SEGUINTES RUAS: OSVALDO CRUZ, FABILINO PEREIRA, JOSÉ MARIANO, NOVA TRINDADE, RUA DA ALEGRIA, HOMENÍDIO ALVES DOS REIS, JOSÉ ALVES DOS REIS, POVOADO SACO VERDE RUAS: TRAVESSA ARAÚJO E JOSÉ PEDRO DO MUNICÍPIO DE TRINDADE-PE.</t>
  </si>
  <si>
    <t>FEM - FUNDO ESTADUAL DE APOIO AO DESENVOLVIMENTO MUNICIPAL</t>
  </si>
  <si>
    <t>19.623.296/0001-25</t>
  </si>
  <si>
    <t>ALEXANDRE C.P. MATOS EIRELI ME</t>
  </si>
  <si>
    <t xml:space="preserve">OBRA/CONCORRÊNCIA PROCESSO LICITATÓRIO 0009/2016 E CONTRATO </t>
  </si>
  <si>
    <t>EXECUÇÃO DE SERVIÇOS NECESSÁRIOS À CONSTRUÇÃO DE UMA CRECHE PADRÃO TIPO - 1 CONVENCIONAL DO PROGRAMA PROINFÂNCIA, NO BAIRRO SÃO GERALDO - TRINDADE-PERNAMBUCO, CONFORME TERMO DE COMPROMISSO PAC 2 2977/2012, FIRMADO COM FNDE, COM FORNECIMENTO TOTAL DE MATERIAIS E MÃO-DE-OBRA CONFORME EDITAL DE CONCORRÊNCIA Nº 001/2016.</t>
  </si>
  <si>
    <t>AVANÇAR CONSTRUÇÕES E PROJETOS LTDA</t>
  </si>
  <si>
    <t xml:space="preserve">OBRA/CONCORRÊNCIA PROCESSO LICITATÓRIO 0010/2016 E CONTRATO </t>
  </si>
  <si>
    <t>EXECUÇÃO DE SERVIÇOS NECESSÁRIOS À CONSTRUÇÃO DE UMA CRECHE PADRÃO TIPO - 1 CONVENCIONAL DO PROGRAMA PROINFÂNCIA, NO DISTRITO DIVINO ESPÍRITO SANTO - TRINDADE-PERNAMBUCO, CONFORME TERMO DE COMPROMISSO PAC 2 29346/2014, FIRMADO COM FNDE, COM FORNECIMENTO TOTAL DE MATERIAIS E MÃO-DE-OBRA CONFORME EDITAL DE CONCORRÊNCIA Nº 001/2016.</t>
  </si>
  <si>
    <t>22.328.425/0001-67</t>
  </si>
  <si>
    <t>LEANDRO SAMPAIO ENGENHARIA EIRELLI - EPP</t>
  </si>
  <si>
    <t>CONCORRÊNCIA PÚBLICA, Nº 001/2014, PROCESSO Nº 007/2014, CONTRATO Nº 18/2014</t>
  </si>
  <si>
    <t>CONSTRUÇÃO DE UMA ANIDADE DE PRONTO ATENDIMENTO (UPA) PADRÃO - I</t>
  </si>
  <si>
    <t>GOMES DE ARAÚJO EMPREENDIMENTOS CONSTRUÇÕES LTDA</t>
  </si>
  <si>
    <t>18/2014</t>
  </si>
  <si>
    <t>TIMBAÚBA</t>
  </si>
  <si>
    <t>MINISTÉRIO DOS ESPORTES</t>
  </si>
  <si>
    <t>TOMADA PREÇOS 006/2013 PROCESSO 028/2013</t>
  </si>
  <si>
    <t>CONSTRUÇÃO DE PÓRTICOS</t>
  </si>
  <si>
    <t>CONTRATO DE REPASSE 375.601-91/2011</t>
  </si>
  <si>
    <t xml:space="preserve">PEDROZA VASCONCELOS EMPREENDIMENTOS LTDA </t>
  </si>
  <si>
    <t>M.M ENGENHARIA E SERVIÇOS LTDA-ME</t>
  </si>
  <si>
    <t>CONCORRÊNCIA 001/2013 PROCESSO 018/2013</t>
  </si>
  <si>
    <t>PAVIMENTAÇÃO EM PARALELEPÍPEDOS NA VILA NOVA VIDA E NO LOTEAMENTO ISMAEL VASCONCELOS</t>
  </si>
  <si>
    <t>CONTRATO DE REPASSE 324.820-67/2010</t>
  </si>
  <si>
    <t>CONCORRÊNCIA 002/2013 PROCESSO 019/2013</t>
  </si>
  <si>
    <t>PAVIMENTAÇÃO EM TSD NAS RUAS ESTUDANTE ÁLVARO XAVIER, TRAVESSA SANTIAGO, JOÃO FERNANDO MACHADO, MARIA EMÍLIA, MAURO FAUSTINO DOS SANTOS E VALDIR CAVALCANTI</t>
  </si>
  <si>
    <t>CONTRATO DE REPASSE 347502-07/2010</t>
  </si>
  <si>
    <t>05.356.734./0001-21</t>
  </si>
  <si>
    <t>TEP CONSTRUTORA LTDA</t>
  </si>
  <si>
    <t>038/2013</t>
  </si>
  <si>
    <t>051/2013</t>
  </si>
  <si>
    <t>TOMADA DE PREÇOS 001/2014 PROCESSO 031/2014</t>
  </si>
  <si>
    <t>CONSTRUÇÃO DE UMA COBERTA NA QUADRA POLIESPORTIVA DA ESCOLA DOM BOSCO</t>
  </si>
  <si>
    <t>PAC 204676/13</t>
  </si>
  <si>
    <t>VASCONCELOS E MAGALHÃES EMPREENDIMENTOS LTDA</t>
  </si>
  <si>
    <t>CONCORRÊNCIA 001/2014 PROCESSO 035/2014</t>
  </si>
  <si>
    <t>PAVIMENTAÇÃO EM PARALELEPÍPEDOS EM DIVERSAS RUAS NO LOTEAMENTO SAPUCAIA</t>
  </si>
  <si>
    <t>FEM - TERMO DE ADESÃO Nº 169/2014</t>
  </si>
  <si>
    <t>TORITAMA</t>
  </si>
  <si>
    <t>TP nº 001/2016</t>
  </si>
  <si>
    <t>SURUBIM</t>
  </si>
  <si>
    <t>TABIRA</t>
  </si>
  <si>
    <t>07.177.559/0001-30</t>
  </si>
  <si>
    <t>TOMADA DE PREÇO 007/2015</t>
  </si>
  <si>
    <t>33.90.30</t>
  </si>
  <si>
    <t>TACARATU</t>
  </si>
  <si>
    <t>Tomada de Preços / 003/2008</t>
  </si>
  <si>
    <t>Construção de Módulos Sanitários Domiciliares, Tipo 1-módulo com vaso sanitário, banheiro, lavatório, reservatório, tanque septico e sumidouro</t>
  </si>
  <si>
    <t>0466/2007</t>
  </si>
  <si>
    <t>A &amp; S Construtora Albuquerque &amp; Souza Ltda.</t>
  </si>
  <si>
    <t>078/2008</t>
  </si>
  <si>
    <t>GL-Empreendimentos Ltda - ME</t>
  </si>
  <si>
    <t>S. A Souza Construtora Ltda ME</t>
  </si>
  <si>
    <t>12.343..102/0001-99</t>
  </si>
  <si>
    <t>Barbosa e Serafim Construções e Serviços Ltda ME</t>
  </si>
  <si>
    <t>Tomada de Preços / 013/2014</t>
  </si>
  <si>
    <t>Urbanização e Iluminação da Av. José Estevão e Dep. Afonso Ferraz e Reforma e Ampliação da Praça Francina Maria de Araújo, no Distrito de Caraibeiras e Urbanização e Iluminação da Av. Aristides Teles de Menezes e Av. Manoel Mariano na Sede do Município</t>
  </si>
  <si>
    <t>Concorrência / 016/2014</t>
  </si>
  <si>
    <t>Pregão Presencial / 015/2014</t>
  </si>
  <si>
    <t>Ob.010/2014</t>
  </si>
  <si>
    <t>Tomada de Preços / 016/2015</t>
  </si>
  <si>
    <t>Construção de Quadras Esportivas, Descobertas nas Escolas Santa Luzia no Sítio Altinho e Umburana na Agrovila 07, Zona Rura e Construção de Uma Quadra Coberta na Rua João Rodrigues de Araújo, s/n - distrito de Caraibeiras Tacaratu/PE.</t>
  </si>
  <si>
    <t>Ob. 008/2015</t>
  </si>
  <si>
    <t>TAQUARITINGA DO NORTE</t>
  </si>
  <si>
    <t>141/2014</t>
  </si>
  <si>
    <t>10.701.210/0001-60</t>
  </si>
  <si>
    <t>TEREZINHA</t>
  </si>
  <si>
    <t>TERRA NOVA</t>
  </si>
  <si>
    <t>21.641.207/0001-15</t>
  </si>
  <si>
    <t>13.637.564/0001-81</t>
  </si>
  <si>
    <t>SÃO LOURENÇO DA MATA</t>
  </si>
  <si>
    <t>NÃO HOUVE</t>
  </si>
  <si>
    <t>23.431.088/0001-00</t>
  </si>
  <si>
    <t>24.161.531/0001-24</t>
  </si>
  <si>
    <t>CONTREL CONSTRUÇÕES E REALIZAÇÕES EMPRESARIAIS LTDA</t>
  </si>
  <si>
    <t>SÃO VICENTE FERRER</t>
  </si>
  <si>
    <t>RDC nº 01/2015</t>
  </si>
  <si>
    <t>04.917.317/0001-48</t>
  </si>
  <si>
    <t>Teixeira Bosshard Const, Consult Ltda</t>
  </si>
  <si>
    <t>62/2014</t>
  </si>
  <si>
    <t>TP Nº 001/2011</t>
  </si>
  <si>
    <t>SERRA TALHADA</t>
  </si>
  <si>
    <t>Natal Engenharia LTDA</t>
  </si>
  <si>
    <t>TP010/2014</t>
  </si>
  <si>
    <t>10.644.993/0001-98</t>
  </si>
  <si>
    <t>Meta Construções e Empreendimento Ltda</t>
  </si>
  <si>
    <t>057/2015</t>
  </si>
  <si>
    <t>076/2015</t>
  </si>
  <si>
    <t>106/2015</t>
  </si>
  <si>
    <t>17.950.410/0001-04</t>
  </si>
  <si>
    <t>TP005/2016</t>
  </si>
  <si>
    <t>SERRITA</t>
  </si>
  <si>
    <t>SERTÂNIA</t>
  </si>
  <si>
    <t>***</t>
  </si>
  <si>
    <t>Construção das Muradas de 02(duas) Creches Pro Infância Tio B e C</t>
  </si>
  <si>
    <t>158/2014</t>
  </si>
  <si>
    <t>João Gualberto Rufino de Siqueira - ME</t>
  </si>
  <si>
    <t>130/2014</t>
  </si>
  <si>
    <t>Convite 009/2014</t>
  </si>
  <si>
    <t xml:space="preserve">Abastecimento de água no Distrito Albuquerque-Né e Waldemar Siqueira </t>
  </si>
  <si>
    <t>136/2014</t>
  </si>
  <si>
    <t>135/2014</t>
  </si>
  <si>
    <t>07.950.585/0001-50</t>
  </si>
  <si>
    <t>AGT Construções LTDA</t>
  </si>
  <si>
    <t>Construção de 04 (quatro) Academias da Saúde Alto do Rio Branco</t>
  </si>
  <si>
    <t>113007 / 2013</t>
  </si>
  <si>
    <t>Construção de 04 (quatro) Academias da Saúde Rio da Barra</t>
  </si>
  <si>
    <t>113009 / 2013</t>
  </si>
  <si>
    <t>Construção de 04 (quatro) Academias da Saúde Cruzeiro do Nordeste</t>
  </si>
  <si>
    <t>Construção de 04 (quatro) Academias da Saúde Albuquerque-Né</t>
  </si>
  <si>
    <t>113010 / 2013</t>
  </si>
  <si>
    <t>10.496.113/0001-83</t>
  </si>
  <si>
    <t>C.W.E. Construções LTDA-ME</t>
  </si>
  <si>
    <t>TP 006/2011</t>
  </si>
  <si>
    <t>Construção de Creche TIPO C</t>
  </si>
  <si>
    <t>04.628.047/0001-55</t>
  </si>
  <si>
    <t>Construtora Valério</t>
  </si>
  <si>
    <t>085/2011</t>
  </si>
  <si>
    <t>204316/2013</t>
  </si>
  <si>
    <t>Construção de Quadra Coberta - Povoado Várzea Velha</t>
  </si>
  <si>
    <t>SIRINHAÉM</t>
  </si>
  <si>
    <t>4.4.9.0.51.00.00</t>
  </si>
  <si>
    <t>04.350.357/0001-50</t>
  </si>
  <si>
    <t>ELETROPISCA INSTALAÇÕES LTDA-ME</t>
  </si>
  <si>
    <t>SANTA TEREZINHA</t>
  </si>
  <si>
    <t>SÃO BENEDITO DO SUL</t>
  </si>
  <si>
    <t>JEPAC CONSTRUÇÕES LTDA</t>
  </si>
  <si>
    <t>2013</t>
  </si>
  <si>
    <t>SÃO BENTO DO UNA</t>
  </si>
  <si>
    <t>Fundo Estadual de Apoio aos Municípios (FEM)</t>
  </si>
  <si>
    <t>089/2014</t>
  </si>
  <si>
    <t>CC 002/2012
(PROC.065/2012)</t>
  </si>
  <si>
    <t>Pavimentação em Revestimento Asfáltico em Diversas Ruas deste Município</t>
  </si>
  <si>
    <t>753639/2010</t>
  </si>
  <si>
    <t>Ministério do Turismo (MTUR/CAIXA)</t>
  </si>
  <si>
    <t>137/2012</t>
  </si>
  <si>
    <t>08.488.802/0001-02</t>
  </si>
  <si>
    <t>SÃO CAETANO</t>
  </si>
  <si>
    <t>xx</t>
  </si>
  <si>
    <t>Planalto Pajeu Empreendimentos Ltda</t>
  </si>
  <si>
    <t>Proc. 021/14   TP. 001/14</t>
  </si>
  <si>
    <t>24.854.223/0001-84</t>
  </si>
  <si>
    <t>SÃO JOAQUIM DO MONTE</t>
  </si>
  <si>
    <t>CONSTRUPAV CONSTRUCOES E
PAVIMENTACOES
LTDA - ME</t>
  </si>
  <si>
    <t>EMENDA PARLAMENTAR 81/2014</t>
  </si>
  <si>
    <t>GOVERNO DO ESTADO - FEM</t>
  </si>
  <si>
    <t>DIVERSOS</t>
  </si>
  <si>
    <t>SÃO JOSÉ DA COROA GRANDE</t>
  </si>
  <si>
    <t>SÃO JOSÉ DO BELMONTE</t>
  </si>
  <si>
    <t>SALOÁ</t>
  </si>
  <si>
    <t>035/2013</t>
  </si>
  <si>
    <t>5º TA</t>
  </si>
  <si>
    <t>CONCORRENCIA 02/2015</t>
  </si>
  <si>
    <t>CRECHE FNDE</t>
  </si>
  <si>
    <t>053/2015</t>
  </si>
  <si>
    <t>1º TA</t>
  </si>
  <si>
    <t>SANTA CRUZ DO CAPIBARIBE</t>
  </si>
  <si>
    <t>CONSTRUTORA ALTO DO MOURA LTDA EPP</t>
  </si>
  <si>
    <t>22.532.706/0001-37</t>
  </si>
  <si>
    <t>AVML EMPREENDIMENTOS E SERVIÇOS LTDA</t>
  </si>
  <si>
    <t>SANTA FILOMENA</t>
  </si>
  <si>
    <t>SANTA MARIA DA BOA VISTA</t>
  </si>
  <si>
    <t>16.789.171/0001-81</t>
  </si>
  <si>
    <t>SANTA MARIA DO CAMBUCÁ</t>
  </si>
  <si>
    <t>93/2014</t>
  </si>
  <si>
    <t>3.3.90.36.00</t>
  </si>
  <si>
    <t>082/2016</t>
  </si>
  <si>
    <t>RIACHO DAS ALMAS</t>
  </si>
  <si>
    <t>FUNDO MUNICIPAL DE APOIO AO DESENVOLVIMENTO DOS MUNICIPIOS</t>
  </si>
  <si>
    <t>100/2013</t>
  </si>
  <si>
    <t>PAVIMENTAÇÃO DAS RUAS DO BAIRRO CELESTINO FEREIRA</t>
  </si>
  <si>
    <t>336.326-36/2010</t>
  </si>
  <si>
    <t>97.554.430/0001-97</t>
  </si>
  <si>
    <t>OLIVEIRA E FERREIRA TRANSPORTE ROD. DE CARGAS LTDA</t>
  </si>
  <si>
    <t>132/2014</t>
  </si>
  <si>
    <t>RIBEIRÃO</t>
  </si>
  <si>
    <t>DISPENSA 007/2016</t>
  </si>
  <si>
    <t>002</t>
  </si>
  <si>
    <t>SALGADINHO</t>
  </si>
  <si>
    <t>CONTRUÇÃO DE UMA CRECHE - Proinfância - Espaço Educativo Infantil Tipo C</t>
  </si>
  <si>
    <t>FNDE-FUNDO NACIONAL DE DESENVOLVIMENTO DA EDUCAÇÃO</t>
  </si>
  <si>
    <t>6.26.2.2013</t>
  </si>
  <si>
    <t>FEM - FUNDO DE APOIO AOS MUNICÍPIOS</t>
  </si>
  <si>
    <t>MGM EMPREENDIMENTOS E SERVIÇOS LTDA - EPP</t>
  </si>
  <si>
    <t>SALGUEIRO</t>
  </si>
  <si>
    <t>CONSTRUTORA PITOMBEIRA LTDA EPP</t>
  </si>
  <si>
    <t>Proj. ativ: 1.036 Elemento 4.4.90.51</t>
  </si>
  <si>
    <t>CONCORRÊNCIA N° 003/2016</t>
  </si>
  <si>
    <t>Construção de Escola/Creche e pré Escola - Convencional I - FNDE, no Bairro PLANALTO.</t>
  </si>
  <si>
    <t>5100/2013</t>
  </si>
  <si>
    <t>PAC 2 - 9629</t>
  </si>
  <si>
    <t>W. M. ENGENHARIA LTDA - EPP</t>
  </si>
  <si>
    <t>442/2016</t>
  </si>
  <si>
    <t>CONCORRÊNCIA N° 004/2016</t>
  </si>
  <si>
    <t>Construção de Escola/Creche e pré Escola - Convencional II - FNDE, no Distrito de Conceição das Crioulas.</t>
  </si>
  <si>
    <t>PAC 2 - 9628</t>
  </si>
  <si>
    <t>429/2016</t>
  </si>
  <si>
    <t>CONCORRÊNCIA N° 002/2016</t>
  </si>
  <si>
    <t>Construção de Escola/Creche e pré Escola - Convencional I - FNDE, no Bairro COHAB</t>
  </si>
  <si>
    <t>PAC 2 - 9627</t>
  </si>
  <si>
    <t>433/2016</t>
  </si>
  <si>
    <t>BNDES</t>
  </si>
  <si>
    <t>ENCERRADA</t>
  </si>
  <si>
    <t>40.884.405/0001-54</t>
  </si>
  <si>
    <t>12.229.586/0001-40</t>
  </si>
  <si>
    <t>02.297.922/0001-38</t>
  </si>
  <si>
    <t>010/14</t>
  </si>
  <si>
    <t>021/16</t>
  </si>
  <si>
    <t>EMLURB</t>
  </si>
  <si>
    <t>0,00</t>
  </si>
  <si>
    <t xml:space="preserve">VASCONCELOS E SANTOS LTDA                                   </t>
  </si>
  <si>
    <t>12.513.837/0001-13</t>
  </si>
  <si>
    <t>CONSTRUTORA FAELLA LTDA EPP</t>
  </si>
  <si>
    <t>Governo de Pernambuco/ Secretaria de Planejamento</t>
  </si>
  <si>
    <t xml:space="preserve">LOQUIPE LOCACAO DE EQUIPAMENTOS E MAO DE OBRA LTDA          </t>
  </si>
  <si>
    <t>CONCORRENCIA / nº 10/2012</t>
  </si>
  <si>
    <t xml:space="preserve">RPA 2 MANUTENCAO SIST. ILUMIN. PUBLICA            </t>
  </si>
  <si>
    <t xml:space="preserve">REAL ENERGY LTDA                                            </t>
  </si>
  <si>
    <t>6-005/13</t>
  </si>
  <si>
    <t>TOMADA/ nº 07/2010</t>
  </si>
  <si>
    <t>OPE. MANUT.COMPORTAS,TUNEL E CASA APOIO E EE IPSEP</t>
  </si>
  <si>
    <t>12.580.932/0001-30</t>
  </si>
  <si>
    <t xml:space="preserve">JPW ENGENHARIA ELETRICA LTDA                                </t>
  </si>
  <si>
    <t>6-007/10</t>
  </si>
  <si>
    <t>CONCORRENCIA / nº 09/2013</t>
  </si>
  <si>
    <t xml:space="preserve">RPA 1 MANUTENCAO SIST. ILUMIN. PUBLICA            </t>
  </si>
  <si>
    <t>6-008/13</t>
  </si>
  <si>
    <t>PREGÃO / nº 32/2013</t>
  </si>
  <si>
    <t>CONS. CONT. PREV. E CORR. PRC, PRQ, JRD, AREAS VER</t>
  </si>
  <si>
    <t>6-008/14</t>
  </si>
  <si>
    <t>PREGÃO / nº 004/2015</t>
  </si>
  <si>
    <t xml:space="preserve">SERVIÇOS DE MANUTENÇÃO PREVENTIVA E CORRETIVA NO SISTEMA DE MICRODRENAGEM DA CIDADE DO RECIFE, CONFORME ESPECIFICAÇÕES DO PROJETO BÁSICO ANEXO AO EDITAL. LOTE 01 - RPA 01. </t>
  </si>
  <si>
    <t xml:space="preserve">07.086.088/0001-55 </t>
  </si>
  <si>
    <t xml:space="preserve">SOLO CONSTRUCOES E TERRAPLANAGEM LTDA </t>
  </si>
  <si>
    <t>6-008/15</t>
  </si>
  <si>
    <t>TOMADA / nº 02/2011</t>
  </si>
  <si>
    <t xml:space="preserve">SERVICOS ILUMINACAO ESPECIAL                      </t>
  </si>
  <si>
    <t>6-009/11</t>
  </si>
  <si>
    <t>CONCORRENCIA  / nº 11/2012</t>
  </si>
  <si>
    <t xml:space="preserve">RPA 3 MANUTENCAO SIST. ILUMIN. PUBLICA            </t>
  </si>
  <si>
    <t>6-009/13</t>
  </si>
  <si>
    <t>CONS. CONT. PREV. E CORR. PRC, PRQ, JRD, AREAS VERDES</t>
  </si>
  <si>
    <t>08.963.533/0001-80</t>
  </si>
  <si>
    <t xml:space="preserve">NATIFLORES COMERCIO E SERVICOS PAISAGISTICOS LTDA           </t>
  </si>
  <si>
    <t>6-009/14</t>
  </si>
  <si>
    <t xml:space="preserve">SERVIÇOS DE MANUTENÇÃO PREVENTIVA E CORRETIVA NO SISTEMA DE MICRODRE-NAGEM DA CIDADE DO RECIFE, CONFORME ESPECIFICAÇÕES DO PROJETO BÁSICO ANEXO AO EDITAL LOTE -02 RPA 02 E RPA 03 </t>
  </si>
  <si>
    <t xml:space="preserve">11.481.173/0001-95 </t>
  </si>
  <si>
    <t xml:space="preserve">ETNA ENGENHARIA E TERRAPLANAGEM NACIONAL LTDA </t>
  </si>
  <si>
    <t>6-009/15</t>
  </si>
  <si>
    <t>CONCORRENCIA / nº 12/2012</t>
  </si>
  <si>
    <t xml:space="preserve">RPA 4 MANUTENCAO SIST. ILUMIN. PUBLICA            </t>
  </si>
  <si>
    <t>6-010/13</t>
  </si>
  <si>
    <t xml:space="preserve">SERVIÇOS DE MANUTENÇÃO PREVENTIVA E CORRETIVA NO SISTEMA DE MICRODRENAGEM DA CIDADE DO RECIFE, CONFORME ESPECIFICAÇÕES DO PROJETO BÁSICO ANEXO AO EDITAL. </t>
  </si>
  <si>
    <t xml:space="preserve">40.884.405/0001-54 </t>
  </si>
  <si>
    <t xml:space="preserve">LOQUIPE LOCACAO DE EQUIPAMENTOS E MAO DE OBRA LTDA </t>
  </si>
  <si>
    <t>6-010/15</t>
  </si>
  <si>
    <t>CONCORRENCIA / nº 13/2012</t>
  </si>
  <si>
    <t xml:space="preserve">RPA 5 MANUTENCAO SIST. ILUMIN. PUBLICA            </t>
  </si>
  <si>
    <t>6-011/13</t>
  </si>
  <si>
    <t>CONCORRENCIA  / Nº 14/2012</t>
  </si>
  <si>
    <t xml:space="preserve">RPA 6 MANUTENCAO SIST. ILUMIN. PUBLICA            </t>
  </si>
  <si>
    <t>6-012/13</t>
  </si>
  <si>
    <t>TOMADA / Nº 13/2011</t>
  </si>
  <si>
    <t xml:space="preserve">CONSTRUCAO DE CASA DE BOMBA- JUSANTE NORTE        </t>
  </si>
  <si>
    <t>10.811.370/0001-62</t>
  </si>
  <si>
    <t xml:space="preserve">GUERRA CONSTRUCOES LTDA                                     </t>
  </si>
  <si>
    <t>6-013/12</t>
  </si>
  <si>
    <t>TOMADA / Nº 12/2011</t>
  </si>
  <si>
    <t xml:space="preserve">CONSTRUCAO DE CASA DE BOMBA-JUSANTE SUL           </t>
  </si>
  <si>
    <t>6-013/13</t>
  </si>
  <si>
    <t>PREGÃO  / Nº 15/2015</t>
  </si>
  <si>
    <t>MANUTENÇÃO DE ESTAÇÃO DE BOMBEAMENTO E COMPORTAS, CONFORME ESPECIFICAÇÕES DO PROJETO BÁSICO</t>
  </si>
  <si>
    <t>JPW ENGENHARIA ELÉTRICA LTDA</t>
  </si>
  <si>
    <t>6-015/15</t>
  </si>
  <si>
    <t>CONCORRENCIA  / Nº 11/2011</t>
  </si>
  <si>
    <t xml:space="preserve">PLANO DE GESTAO E  MANEJO DAS AGUAS PLUVIAIS      </t>
  </si>
  <si>
    <t>351.244-56/2011</t>
  </si>
  <si>
    <t>Ministério das Cidades/PAC2/OGU</t>
  </si>
  <si>
    <t xml:space="preserve">ABF ENGENHARIA SERVICOS E COMERCIO LTDA                     </t>
  </si>
  <si>
    <t>6-016/12</t>
  </si>
  <si>
    <t>PREGÃO / nº 003/2015</t>
  </si>
  <si>
    <t xml:space="preserve">SERVIÇOS DE MANUTENÇÃO E RECUPERAÇÃO DA PAVIMENTAÇÃO EM PARALELEPÍPEDOS DA CIDADE DO RECIFE, CONFORME ESPECIFICAÇÕES DO PROJETO BÁSICO ANEXO AO EDITAL. LOTE I - RPA 01. </t>
  </si>
  <si>
    <t xml:space="preserve">  002/2015 E 004/2016</t>
  </si>
  <si>
    <t xml:space="preserve">00.749.205/0001-74 </t>
  </si>
  <si>
    <t xml:space="preserve">CONSTRUTORA INGAZEIRA LTDA </t>
  </si>
  <si>
    <t>6-016/15</t>
  </si>
  <si>
    <t>03.330.089/0001-42</t>
  </si>
  <si>
    <t>CONCORRENCIA  / Nº 007/2013</t>
  </si>
  <si>
    <t>RECUPERAÇÃO DE ESCADARIAS – RPA 02</t>
  </si>
  <si>
    <t>6-017/14</t>
  </si>
  <si>
    <t>SERVIÇOS DE MANUTENÇÃO E RECUPERAÇÃO DA PAVIMENTAÇÃO EM PARALELEPÍPEDOS DA CIDADE DO RECIFE, CONFORME ESPECI-FICAÇÕES DO PROJETO BÁSICO LOTE 02</t>
  </si>
  <si>
    <t>6-017/15</t>
  </si>
  <si>
    <t>RECUPERAÇÃO DE ESCADARIAS – RPA 03</t>
  </si>
  <si>
    <t>6-018/14</t>
  </si>
  <si>
    <t>SERVIÇOS DE MANUTENÇÃO E RECUPERAÇÃO DA PAVIMENTAÇÃO EM PARALELEPÍPEDOS DA CIDADE DO RECIFE, CONFORME ESPECI-FICAÇÕES DO PROJETO BÁSICO LOTE 03</t>
  </si>
  <si>
    <t xml:space="preserve">05.625.079/0001-60 </t>
  </si>
  <si>
    <t xml:space="preserve">CONSTRUTORA MARDIFI LTDA - EPP </t>
  </si>
  <si>
    <t>6-018/15</t>
  </si>
  <si>
    <t>00.956.601/0001-72</t>
  </si>
  <si>
    <t>CONCORRENCIA  / Nº 04/2010</t>
  </si>
  <si>
    <t xml:space="preserve">PROTECAO E MANUTENCAO DA ORLA DE BOA VIAGEM       </t>
  </si>
  <si>
    <t>10.809.473/0001-98</t>
  </si>
  <si>
    <t xml:space="preserve">EMPRESA CONSTRUTORA CAMILO COLLIER LTDA                     </t>
  </si>
  <si>
    <t>6-021/10</t>
  </si>
  <si>
    <t>CONCORRENCIA  / Nº 001/2013</t>
  </si>
  <si>
    <t>RECUPERAÇÃO DE PASSEIOS NA RPA 01 – LOTE 01</t>
  </si>
  <si>
    <t>6-021/13</t>
  </si>
  <si>
    <t>4.4.90.39</t>
  </si>
  <si>
    <t>PREGÃO  / Nº 20/2013</t>
  </si>
  <si>
    <t xml:space="preserve">MANUTENCAO PREVENTIVA SISTEMA DE DRENAGEM.        </t>
  </si>
  <si>
    <t xml:space="preserve">SERVITIUM LTDA                                              </t>
  </si>
  <si>
    <t>6-022/14</t>
  </si>
  <si>
    <t xml:space="preserve">ETNA ENGENHARIA E TERRAPLENAGEM NACIONAL LTDA               </t>
  </si>
  <si>
    <t>6-023/14</t>
  </si>
  <si>
    <t>6-024/14</t>
  </si>
  <si>
    <t>PREGÃO PRESENCIAL / 352015</t>
  </si>
  <si>
    <t>AMPLIAÇÃO DA REDE DE DRENAGEM DO PARQUE DA MACAXEIRA, CONFORME ESPECIFICAÇÕES DO PROJETO BÁSICO ANEXO AO EDITAL.</t>
  </si>
  <si>
    <t>CONSTRUTORA  INGAZEIRA  LTDA</t>
  </si>
  <si>
    <t>6-025/15</t>
  </si>
  <si>
    <t>PREGÃO  / Nº 05/2014</t>
  </si>
  <si>
    <t xml:space="preserve">SERVIÇOS DE MANUTENÇÃO CONTÍNUA DO SISTEMA DE CANAIS E CANALETAS COMPONENTES DA MACRODRENAGEM DA CIDADE DO RECIFE - LOTE 1 (RPA 1 E RPA 6) </t>
  </si>
  <si>
    <t>6-028/14</t>
  </si>
  <si>
    <t xml:space="preserve">MANUTENCAO PREVENTIVA SISTEMA DE MACRODRENAGEM.   </t>
  </si>
  <si>
    <t xml:space="preserve">SCAVE SERVICOS DE ENGENHARIA E LOCACAO LTDA                 </t>
  </si>
  <si>
    <t>6-029/14</t>
  </si>
  <si>
    <t>LIMP. DE CANAL UTILIZANDO-SE O PROC.BARRAGEM MOVEL</t>
  </si>
  <si>
    <t>03.366.083/0001-25</t>
  </si>
  <si>
    <t xml:space="preserve">HIDROMAX CONSTRUCOES LTDA                                   </t>
  </si>
  <si>
    <t>6-030/13</t>
  </si>
  <si>
    <t xml:space="preserve">SERVIÇOS DE MANUTENÇÃO CONTÍNUA DO SISTEMA DE CANAIS E CANALETAS COMPONENTES DA MACRODRENAGEM DA CIDADE DO RECIFE - LOTE 3 (RPA 4 E RPA 5) </t>
  </si>
  <si>
    <t>6-030/14</t>
  </si>
  <si>
    <t>PREGÃO  / Nº 10/2013</t>
  </si>
  <si>
    <t xml:space="preserve">RECUP.DE VIAS PAVIMENTADAS EM CONCRETO            </t>
  </si>
  <si>
    <t>6-034/13</t>
  </si>
  <si>
    <t>PREGÃO  / Nº 18/2014</t>
  </si>
  <si>
    <t xml:space="preserve">RECUPERACAO DE PASSARELAS EM DIVERSOS LOCAIS                       </t>
  </si>
  <si>
    <t>6-035/14</t>
  </si>
  <si>
    <t>11.019.554/0001-57</t>
  </si>
  <si>
    <t>CONCORRENCIA  / Nº 08/2013</t>
  </si>
  <si>
    <t xml:space="preserve">REC.PRACAS NA CIDADE DO RECIFE   - RPA'S 01,02, 03 E 04                 </t>
  </si>
  <si>
    <t>6-054/13</t>
  </si>
  <si>
    <t xml:space="preserve">REC.PRACAS NA CIDADE DO RECIFE - RPA'S 05 E 06                     </t>
  </si>
  <si>
    <t>6-055/13</t>
  </si>
  <si>
    <t>CONCORRENCIA  / Nº 09/2013</t>
  </si>
  <si>
    <t>MANUTENÇÃO E RECUPERAÇÃO DA PAVIMENTAÇÃO – LOTE I – RPA'S 01 E 06</t>
  </si>
  <si>
    <t xml:space="preserve">LIDERMAC CONSTRUCOES E EQUIPAMENTOS LTDA                    </t>
  </si>
  <si>
    <t>6-056/13</t>
  </si>
  <si>
    <t>MANUTENÇÃO E RECUPERAÇÃO DA PAVIMENTAÇÃO  -LOTE II – RPA'S 03 E 05</t>
  </si>
  <si>
    <t xml:space="preserve">CONSTRUTORA ANDRADE GUEDES LTDA                             </t>
  </si>
  <si>
    <t>6-057/13</t>
  </si>
  <si>
    <t xml:space="preserve">MANUTENÇÃO E RECUPERAÇÃO DA PAVIMENTAÇÃO-LOTE I – RPA'S 04  </t>
  </si>
  <si>
    <t xml:space="preserve">AGC CONSTRUTORA E EMPREENDIMENTOS LTDA                      </t>
  </si>
  <si>
    <t>6-058/13</t>
  </si>
  <si>
    <t xml:space="preserve">MANUTENÇÃO E RECUPERAÇÃO DA PAVIMENTAÇÃO - LOTE I – RPA'S 02 </t>
  </si>
  <si>
    <t xml:space="preserve">PRESSA CONSTRUCOES LTDA                                     </t>
  </si>
  <si>
    <t>6-059/13</t>
  </si>
  <si>
    <t>GUERRA CONSTRUÇÕES LTDA</t>
  </si>
  <si>
    <t>PREGÃO PRESENCIAL/ Nº 024/2015</t>
  </si>
  <si>
    <t>CONTRATAÇÃO DE EMPRESA DE ENGENHARIA PARA IMPLANTAÇÃO DE SISTEMA DE ATERRAMENTO EM DIVERSAS PRAÇAS LOCALIZADAS EM TODAS AS RPA'S DA CIDADE DO RECIFE</t>
  </si>
  <si>
    <t>6-028/15</t>
  </si>
  <si>
    <t>CONVITE / Nº04/16</t>
  </si>
  <si>
    <t>RECUPERAÇÃO DE PASSEIOS DA ORLA DE BOA VIAGEM</t>
  </si>
  <si>
    <t>GUERRA CONSTRUÇÕES</t>
  </si>
  <si>
    <t>1-001/16</t>
  </si>
  <si>
    <t>CONCORRENCIA / Nº 06/2016</t>
  </si>
  <si>
    <t>SERVIÇOS DE REQUALIFICAÇÃO DA ILUMINAÇÃO DO PARQUE URBANO DA MACAXEIRA</t>
  </si>
  <si>
    <t>VASCONCELOS E SANTOS LTDA</t>
  </si>
  <si>
    <t>6-013/16</t>
  </si>
  <si>
    <t>PREGÃO PRESENCIAL/ Nº 050/2015</t>
  </si>
  <si>
    <t>RECUPERAÇÃO DE TORRES DE ILUMINAÇÃO PÚBLICA DA ORLA DE BOA VIAGEM</t>
  </si>
  <si>
    <t>VENCER ENGENHARIA  E SERVIÇOS LTDA</t>
  </si>
  <si>
    <t>6-009/16</t>
  </si>
  <si>
    <t>TOMADA / Nº 02/2016</t>
  </si>
  <si>
    <t>CONTRATAÇÃO DE EMPRESA EM ENGENHARIA ESPECIALIZADA EM ILUMINAÇÃO PÚBLICA PARA FORNECIMENTO E INSTALAÇÃO DE LUMINARIA COM TECNOLOGIA LED PARA ILUMINAÇÃO NA AVENIDA CAIS DE SANTA RITA.</t>
  </si>
  <si>
    <t>6-011/16</t>
  </si>
  <si>
    <t>COMPANHIA DE TRÂNSITO E TRANSPORTE URBANO</t>
  </si>
  <si>
    <t>016/2013</t>
  </si>
  <si>
    <t>Manutenção preventiva e corretiva das unidades de saúde, academias da cidades e prédios admministrativos</t>
  </si>
  <si>
    <t>Paralisado</t>
  </si>
  <si>
    <t>Concorrência 004/2013</t>
  </si>
  <si>
    <t>Reforma das Unidades de Saúde</t>
  </si>
  <si>
    <t>CIFRA Engenharia e Serviço Ltda</t>
  </si>
  <si>
    <t>Reforma CS Fernandes Figueira</t>
  </si>
  <si>
    <t>06.081.565/0001-27</t>
  </si>
  <si>
    <t>Santa Júlia Incorporadora e Construtora Ltda</t>
  </si>
  <si>
    <t>SECRETARIA DE SANEAMENTO</t>
  </si>
  <si>
    <t>Construção de 160 habitacionais , bem como os serviços de infra-estrutura interna, dotada de abastecimento de água, esgotamento sanitário, rede elétrica, área de lazer, pavimentação e drenagem do Conjunto Habitacional Coelhos, localizado na Travessa do Gusmão, nº91, no bairro de São José, nesta cidade</t>
  </si>
  <si>
    <t>0192846-51/2006</t>
  </si>
  <si>
    <t>CAIXA ECONOMICA FEDERAL</t>
  </si>
  <si>
    <t>10.823.219/0001-44</t>
  </si>
  <si>
    <t>ENENGI- Empresa Nacional de Engenharia e Construções LTDA</t>
  </si>
  <si>
    <t>154/09</t>
  </si>
  <si>
    <t>OBRAS E INSTALAÇÕES</t>
  </si>
  <si>
    <t>Construção de 224 habitacionais , bem como os serviços de infra-estrutura interna, dotada de abastecimento de água, esgotamento sanitário, rede elétrica, área de lazer, pavimentação e drenagem do Conjunto Habitacional Coelhos, localizado na Praça Sérgio Loreto, nº 1.112, no bairro de São José, nesta cidade</t>
  </si>
  <si>
    <t>MF Engenharia e Equipamentos LTDA</t>
  </si>
  <si>
    <t>153/09</t>
  </si>
  <si>
    <t>Execução dos Serviços de conclusão da construção de 128 unidades habitacionais e sua infraestrutura interna, conjunto habitacinal Vila Brasil I, na Rua Agostinho Gomes, Av. Desembargador Guerra, Av. Beira Rio e Ponte Joaquim Cardoso, no bairro Joana Bezerra em Recife.</t>
  </si>
  <si>
    <t>01.663.476/0001-75</t>
  </si>
  <si>
    <t>DHF engenharia</t>
  </si>
  <si>
    <t>277/13</t>
  </si>
  <si>
    <t>Pregão 03/2013</t>
  </si>
  <si>
    <t>Execução de serviços de revestimento das paredes internas e tetos de 224 apartamentos do conjunto habitacional coelhos, localizado na praça Sergio Loreto, no bairro de São José, Recife.</t>
  </si>
  <si>
    <t>11.079.615/0001-71</t>
  </si>
  <si>
    <t>Casa Pronta Comércio e Serviços</t>
  </si>
  <si>
    <t>02.931.195/0001-19</t>
  </si>
  <si>
    <t>SECRETARIA DA MULHER</t>
  </si>
  <si>
    <t>GABINETE DE PROJETOS ESPECIAIS</t>
  </si>
  <si>
    <t>SECRETARIA DE EDUCAÇÃO</t>
  </si>
  <si>
    <t>07.811.641/0001-75</t>
  </si>
  <si>
    <t>MARINHO CONSTRUÇÕES LTDA</t>
  </si>
  <si>
    <t>GINÁSIO DE ESPORTES GERALDO MAGALHÃES</t>
  </si>
  <si>
    <t>AUTARQUIA DE SANEAMENTO</t>
  </si>
  <si>
    <t>COMPESA</t>
  </si>
  <si>
    <t>13/2016</t>
  </si>
  <si>
    <t>CASA MILITAR DE PERNAMBUCO</t>
  </si>
  <si>
    <t>046/2013</t>
  </si>
  <si>
    <t>OBRA PARALIZADA</t>
  </si>
  <si>
    <t>CORPO DE BOMBEIROS MILITAR DE PERNAMBUCO</t>
  </si>
  <si>
    <t xml:space="preserve"> 08.073.264/0001-87</t>
  </si>
  <si>
    <t>CONST. ANDRADE GUEDES LTDA</t>
  </si>
  <si>
    <t xml:space="preserve"> 04.453.350/0001-64</t>
  </si>
  <si>
    <t>J &amp; F CONSTRUCOES E COMERCIO LTDA</t>
  </si>
  <si>
    <t>Concorrência Pública 42/12</t>
  </si>
  <si>
    <t>01.543.722/0001-55 14.448.260/0001-39</t>
  </si>
  <si>
    <t xml:space="preserve">Consórcio SVC / TOP Engenharia - </t>
  </si>
  <si>
    <t>0008/14</t>
  </si>
  <si>
    <t>29/05/2014  (Paralisação) 01/12/2014 (Paralisação) 01/03/206 (Paralisação) 10/08/2016 (Paralisação) 06/10/2017 (Conclusão)</t>
  </si>
  <si>
    <t>JEPAC ENGENHARIA LTDA</t>
  </si>
  <si>
    <t>Concorrência Pública 44/2012</t>
  </si>
  <si>
    <t>EXECUÇÃO DAS OBRAS DE RESTAURAÇÃO DA RODOVIA PE-041 - TRECHO ENTRADA- PE-027- (ARAÇOIABA) ENTRADA BR- 408- (CARPINA),COM EXTENSÃO DE 22,00 KM</t>
  </si>
  <si>
    <t xml:space="preserve">  05.790.272/0001-56  00.999.591/0001-52</t>
  </si>
  <si>
    <t>GMEC - ENGENHARIA E CONSTRUCOES LTDA -    A.G.C CONSTRUCOES &amp; EMPREENDIMENTOS LTDA</t>
  </si>
  <si>
    <t>0017/13</t>
  </si>
  <si>
    <t>Concorrência Pública 04/14</t>
  </si>
  <si>
    <t xml:space="preserve"> DISPENSA DE LICITAÇÃO: EXECUÇÃO DOS SERVIÇOS REMANESCENTES DAS OBRAS
PARA RESTAURAÇÃO DA RODOVIA PE 103, TRECHO: ENTR. BR- 232(BEZERROS)/ENTR. PE-109(BONITO), COM EXTENSÃO DE 29,50 KM.</t>
  </si>
  <si>
    <t xml:space="preserve"> 01.543.722/0001-55</t>
  </si>
  <si>
    <t>SVC Construções Ltda</t>
  </si>
  <si>
    <t>0004/15</t>
  </si>
  <si>
    <t>Concorrência Pública 14/13</t>
  </si>
  <si>
    <t>EXECUÇÃO DAS OBRAS E SERVIÇOS DE RESTAURAÇÃO DA RODOVIA PE-123 - PE-132,
TRECHO: ENTR. BR-104 - (CUPIRA / VILA DO ENTROCAMENTO) (6,00 KM), E (VILA DO
ENTROCAMENTO / LAGOA DOS GATOS) (4,00 KM), COM EXTENSÃO TOTAL DE 10,00 KM.</t>
  </si>
  <si>
    <t xml:space="preserve"> 07.693.988/0001-60</t>
  </si>
  <si>
    <t>F.R.F.ENGENHARIA LTDA</t>
  </si>
  <si>
    <t>0013/15</t>
  </si>
  <si>
    <t>04/01/2016 (paralisação) 18/11/2016 (paralisação) 30/11/2015  (Conclusão)</t>
  </si>
  <si>
    <t>Concorrência Pública 13/13</t>
  </si>
  <si>
    <t>EXECUÇÃO DAS OBRAS E SERVIÇOS DE RESTAURAÇÃO, DUPLICAÇÃO E MELHORAMENTOS DA RODOVIA PE-160, TRECHO: ENTR. BR-104 (PÃO DE AÇUCAR) - SANTA CRUZ DO CAPIBARIBE, COM EXTENSÃO 12,15 KM.</t>
  </si>
  <si>
    <t xml:space="preserve">0031/14 </t>
  </si>
  <si>
    <t>31/10/2014 (Paralisação) 07/12/2015 (Conclusão)</t>
  </si>
  <si>
    <t>24.557.563/0001-43</t>
  </si>
  <si>
    <t xml:space="preserve"> 40.869.463/0001-09</t>
  </si>
  <si>
    <t>Concorrência Pública 11/14</t>
  </si>
  <si>
    <t xml:space="preserve"> EXECUÇÃO DOS SERVIÇOS DE MANUTENÇÃO E CONSERVAÇÃO DAS RODOVIAS SOB
JURISDIÇÃO DO 4º DOD: PE-037; PE-039; PE-042; PE-045; PE-058; PE-063; PE-064; PE-071; PE-073;
PE-085; PE-096; PE-099; PE-103; PE-125; PE-126; VPE-179, E ACESSOS</t>
  </si>
  <si>
    <t>40.869.463/0001-09</t>
  </si>
  <si>
    <t xml:space="preserve"> ESSE ENGENHARIA E SINALIZAÇÃO LTDA</t>
  </si>
  <si>
    <t>0008/15</t>
  </si>
  <si>
    <t>18/05/2017 (Conclusão)</t>
  </si>
  <si>
    <t>27.183.425/0001-30</t>
  </si>
  <si>
    <t>07.086.088/0001-55</t>
  </si>
  <si>
    <t>SOLO CONTRUCOES E TERRAPLANAGEM LTDA</t>
  </si>
  <si>
    <t>CM - CONSTRUÇÕES E SERVIÇOS LTDA</t>
  </si>
  <si>
    <t>ESSE ENGENHARIA E SINALIZAÇÃO LTDA</t>
  </si>
  <si>
    <t>Concorrência Pública 2/2014</t>
  </si>
  <si>
    <t xml:space="preserve"> Execução das Obras para Remodelação e Adequação da Capacidade da Rodovia PE-430, Trecho: Travessia Urbana de São José do Belmonte. Ext. 2.985,50m</t>
  </si>
  <si>
    <t>0001/16</t>
  </si>
  <si>
    <t>Concorrência Pública 7/2012</t>
  </si>
  <si>
    <t>EXECUÇÃO DAS OBRAS DE IMPLANTAÇÃO E PAVIMENTAÇÃO DA RODOVIA: PE-460,
TRECHO: ENTR. BR-116 - ENTR. VICINAL DE ACESSO A CONCEIÇÃO DAS CRIOULAS, COM
EXTENSÃO DE 25,080 KM</t>
  </si>
  <si>
    <t xml:space="preserve"> 35.398.247/0001-92</t>
  </si>
  <si>
    <t>0024/16</t>
  </si>
  <si>
    <t>Concorrência Pública 12/13</t>
  </si>
  <si>
    <t xml:space="preserve"> EXECUÇÃO DOS SERVIÇOS DE CONSERVAÇÃO DAS RODOVIAS SOB JURISDIÇÃO DO 7° DOD PE's - 158, 170, 177, 182, 187, 203, 217, 218, 223 , 233, 270 E PE-300</t>
  </si>
  <si>
    <t>01.687.783/0001-96</t>
  </si>
  <si>
    <t>TIROL - CONSTRUTORA DE OBRAS LTDA</t>
  </si>
  <si>
    <t>0020/14</t>
  </si>
  <si>
    <t xml:space="preserve"> EXECUÇÃO DAS OBRAS E SERVIÇOS DE PAVIMENTAÇÃO DA RODOVIA VICINAL DE
ACESSO AO POVOADO DE JIRAU TRECHO: ENTRADA PE- 270(ITAIBA)/(POVOADO DE JIRAU), NUMA
EXTENSÃO DE 6,00 KM, E COMPLEMENTAÇÃO DA IMPLANTAÇÃO DA RODOVIA VICINAL DE ACESSO
AO POVOADO DE NEGRA</t>
  </si>
  <si>
    <t>02.724.778/0001-79</t>
  </si>
  <si>
    <t>Uniterra - União Terraplenagem e Engenharia Ltda</t>
  </si>
  <si>
    <t>0045/13</t>
  </si>
  <si>
    <t xml:space="preserve"> CONSERVAÇÃO DAS RODOVIAS SOB JURISDIÇÃO DO 8º DOD-PETROLINA: PE'S 550, 555,
573, 574, 604, 624, 625, 626, 634, 635, 636, 638, 639, 647, 655 E ACESSOS</t>
  </si>
  <si>
    <t>04.299.154/0001-87</t>
  </si>
  <si>
    <t>CBC - CONSTRUTORA BATISTA CAVALCANTE LTDA</t>
  </si>
  <si>
    <t>0019/14</t>
  </si>
  <si>
    <t xml:space="preserve"> 30/04/2017 (Conclusão)</t>
  </si>
  <si>
    <t>Concorrência Pública 1/2016</t>
  </si>
  <si>
    <t xml:space="preserve"> EXECUÇÃO DAS OBRAS E SERVIÇOS PARA READEQUAÇÃO DO AERÓDROMO DE SERRA
TALHADA</t>
  </si>
  <si>
    <t>0028/16</t>
  </si>
  <si>
    <t>13/12/2016 (Conclusão)</t>
  </si>
  <si>
    <t>09.175.317/0001-33</t>
  </si>
  <si>
    <t>3.3.90.39.16</t>
  </si>
  <si>
    <t>FUNDO ESTADUAL DE ASSISTÊNCIA SOCIAL</t>
  </si>
  <si>
    <t xml:space="preserve">EM EXECUÇÃO </t>
  </si>
  <si>
    <t>170/2016</t>
  </si>
  <si>
    <t>100/2016</t>
  </si>
  <si>
    <t>178/2016</t>
  </si>
  <si>
    <t>197/2016</t>
  </si>
  <si>
    <t>INSTITUTO DE RECURSOS HUMANOS</t>
  </si>
  <si>
    <t>07.166.474/0001-57</t>
  </si>
  <si>
    <t>POLÍCIA CIVIL DE PERNAMBUCO</t>
  </si>
  <si>
    <t>PP007/2012</t>
  </si>
  <si>
    <t>Reforma do prédio da DELEGACIA DE POLÍCIA DA 73ª CIRCUNSCRIÇÃO - SERINHAÉM, sito à Rua Sebastião Chaves, s/nº, Centro, município de Sirinhaém/PE.</t>
  </si>
  <si>
    <t xml:space="preserve"> 09.486.446/0001-42</t>
  </si>
  <si>
    <t>SEMPRA CONSTRUÇÃO LTDA.</t>
  </si>
  <si>
    <t>PP001/2013</t>
  </si>
  <si>
    <t>Construção da rampa de acesso da DECASP, sito na Rua Gervásio Píres, nº 863, Boa Vista, Recife - PE.</t>
  </si>
  <si>
    <t xml:space="preserve"> 02.775.397/0001-19</t>
  </si>
  <si>
    <t>LOC CONSTRUÇÕES LTDA - EPP</t>
  </si>
  <si>
    <t xml:space="preserve">Reforma das instalações físicas do 9º BPM </t>
  </si>
  <si>
    <t>08.064.592/0001-17</t>
  </si>
  <si>
    <t>Construtora Duarte Luna LTDA</t>
  </si>
  <si>
    <t>062(2011)</t>
  </si>
  <si>
    <t>Inacabada e sem vínculo contratual</t>
  </si>
  <si>
    <t>Reforma com adequação do Batalhão de Polícia de Guardas (Centro de Convenções)</t>
  </si>
  <si>
    <t>10.536.997/0001-52</t>
  </si>
  <si>
    <t>GTA Construções LTDA EPP</t>
  </si>
  <si>
    <t>026(2013)</t>
  </si>
  <si>
    <t>Processo nº 008 / TP nº 003 (2013)</t>
  </si>
  <si>
    <t>Reforma das instalações físicas da DGP e coberta do QCG/PMPE</t>
  </si>
  <si>
    <t>02.518.401/0001-63</t>
  </si>
  <si>
    <t>Inove Engenharia LTDA</t>
  </si>
  <si>
    <t>018(2014)</t>
  </si>
  <si>
    <t>PROCURADORIA GERAL DO ESTADO</t>
  </si>
  <si>
    <t>CCO 01/2013</t>
  </si>
  <si>
    <t>Obra de Reforma Interna para Integração dos Prédios Localizados à rua do sol, 143 e Rua Siqueira Campos, 368</t>
  </si>
  <si>
    <t>70.221.064/ 0001-06</t>
  </si>
  <si>
    <t>JORGE COSTA Engenharia Ltda.</t>
  </si>
  <si>
    <t>032/14</t>
  </si>
  <si>
    <t>Serviços de Instalações Elétricas de Baixa Tensão para Integração dos edifícios IPSEP e Anexo da PGE</t>
  </si>
  <si>
    <t xml:space="preserve">  70.221.064/ 0001-06</t>
  </si>
  <si>
    <t>064/14</t>
  </si>
  <si>
    <t xml:space="preserve">P.E. 14/14 -   CPL </t>
  </si>
  <si>
    <t>Fornecimento e Instalação de Sistema de Climatização para o edifício Anexo À sede da PGE</t>
  </si>
  <si>
    <t>03.927.065 / 0001-75</t>
  </si>
  <si>
    <t>TERCLIMA  Técnica  Refriger. Ltda.</t>
  </si>
  <si>
    <t>PROGRAMA ESTADUAL DE APOIO AO PEQUENO PRODUTOR RURAL</t>
  </si>
  <si>
    <t>Contratação de Serviços de implementação de cisternas de placas de 16 mil litros</t>
  </si>
  <si>
    <t>Caritas Brasileira Regional Nordeste ll</t>
  </si>
  <si>
    <t>Em execução física e/ou financeira</t>
  </si>
  <si>
    <t>BIRD</t>
  </si>
  <si>
    <t>Em Execução</t>
  </si>
  <si>
    <t>126/2014</t>
  </si>
  <si>
    <t>119/2014</t>
  </si>
  <si>
    <t>143/2014</t>
  </si>
  <si>
    <t>181/2014</t>
  </si>
  <si>
    <t>061/2014</t>
  </si>
  <si>
    <t>112/2014</t>
  </si>
  <si>
    <t>124/2014</t>
  </si>
  <si>
    <t>131/2014</t>
  </si>
  <si>
    <t>052/2013</t>
  </si>
  <si>
    <t>110/2014</t>
  </si>
  <si>
    <t>07.826.791/0001-52</t>
  </si>
  <si>
    <t>SECRETARIA DA FAZENDA</t>
  </si>
  <si>
    <t>05.441.127/0001-60</t>
  </si>
  <si>
    <t>SECRETARIA DA MICRO E PEQUENA EMPRESA, TRABALHO E QUALIFICAÇÃO</t>
  </si>
  <si>
    <t>40 dias</t>
  </si>
  <si>
    <t>Processo Licitatório nº 005/2011</t>
  </si>
  <si>
    <t>Construção do Terminal Integrado Joana Bezerra situado na ilha de Joana Bezerra no município do Recife-PE, contíguo a estação homônima do metrô do Recife, e parte do seu sistema viário de acesso</t>
  </si>
  <si>
    <t>001/2008</t>
  </si>
  <si>
    <t>CBTU</t>
  </si>
  <si>
    <t xml:space="preserve">00.780.851/0001-02 </t>
  </si>
  <si>
    <t>CONSTRUTORA GUSMÃO PLANEJAMENTO E OBRAS</t>
  </si>
  <si>
    <t>CT Nº: 017/2011</t>
  </si>
  <si>
    <t>Execução de obras de construção do TI de PRAZERES e de reforma e melhoria e adequação do sistema viário de acesso ao respectivo terminal e à estação</t>
  </si>
  <si>
    <t>TRÓPICOS ENGENHARIA E COMÉRCIO LTDA</t>
  </si>
  <si>
    <t>CC 004/2009</t>
  </si>
  <si>
    <t>Contratação de empresa para a execução de obras de reforma e ampliação do Terminal Integrado de Passageiros do BARRO</t>
  </si>
  <si>
    <t>244.750-22/2007</t>
  </si>
  <si>
    <t xml:space="preserve">MCID </t>
  </si>
  <si>
    <t>Plinio Cavalcanti &amp; CIA</t>
  </si>
  <si>
    <t>Nº 02709.018</t>
  </si>
  <si>
    <t>Execução de obras de reforma da plataforma de desembarque do Terminal de Passageiros Antônio Farias e construção do Terminal Integrado de Passageiros do TIP</t>
  </si>
  <si>
    <t xml:space="preserve">11.569.027/0001-16                  </t>
  </si>
  <si>
    <t>TIMES Engenharia Ltda.</t>
  </si>
  <si>
    <t>Nº 02509.018</t>
  </si>
  <si>
    <t>TP 001/2012 CPL</t>
  </si>
  <si>
    <t>Construção da Escola Técnica Estadual - Macaxeira</t>
  </si>
  <si>
    <t>SEDUC</t>
  </si>
  <si>
    <t>Serviços de dragagem de manutenção e recomposição da calha natural de trechos do Rio Capibaribe e da foz do Rio Beberibe para implantação de hidrovia</t>
  </si>
  <si>
    <t>TC0413177-60</t>
  </si>
  <si>
    <t>03.193.191/0001-43 E          33.192.873/0001-00</t>
  </si>
  <si>
    <t>CONSÓRCIO ETC &amp; BRASILIA GUAIBA LTDA</t>
  </si>
  <si>
    <t>047/2012</t>
  </si>
  <si>
    <t>CONTRATO ENCERRADO EM PROCESSO ADMINISTRATIVO.</t>
  </si>
  <si>
    <t>CC 001/2014 CEL</t>
  </si>
  <si>
    <t xml:space="preserve">Complementação do Terminal Integrado de JOANA BEZERRA </t>
  </si>
  <si>
    <t>Implantação de  07 Estações Fluviais e do Galpão de manutenção</t>
  </si>
  <si>
    <t>016/2015</t>
  </si>
  <si>
    <t xml:space="preserve"> CONTRATO Nº 020/2015</t>
  </si>
  <si>
    <t>Pavimentação em Paralelepídeo Granitico - Feira Nova</t>
  </si>
  <si>
    <t>Spala Nordeste Ltda-ME</t>
  </si>
  <si>
    <t xml:space="preserve"> CONTRATO Nº 021/2015</t>
  </si>
  <si>
    <t>Academias das Cidades - Xexéu</t>
  </si>
  <si>
    <t>Contrel - Construções e Realizações Empresarias Ltda.</t>
  </si>
  <si>
    <t xml:space="preserve"> 021/2015</t>
  </si>
  <si>
    <t xml:space="preserve"> CONTRATO Nº 003/2016</t>
  </si>
  <si>
    <t>Construção Museu José Dantas -Carnaíba</t>
  </si>
  <si>
    <t>Construtora Paulista Ltda.</t>
  </si>
  <si>
    <t xml:space="preserve"> CONTRATO Nº 004/2015</t>
  </si>
  <si>
    <t>Pavimentação em Paralelepípedo Granito - Cabrobó</t>
  </si>
  <si>
    <t>Constema Contrutora &amp; Empreendimentos Ltda- EPP</t>
  </si>
  <si>
    <t xml:space="preserve"> CONTRATO Nº 007/2016</t>
  </si>
  <si>
    <t>Pavimentação em Paralelepípedo Granito - Trindade</t>
  </si>
  <si>
    <t>03.006.548.0001-37</t>
  </si>
  <si>
    <t>Cosampa Projetos e Construções Ltda.</t>
  </si>
  <si>
    <t xml:space="preserve"> CONTRATO Nº 009/2016</t>
  </si>
  <si>
    <t>Construção da Praça Manoel Lopes de Carvalho - Mirandiba</t>
  </si>
  <si>
    <t>10.698.641/0001-15</t>
  </si>
  <si>
    <t>Gildete Cordeiro Silva</t>
  </si>
  <si>
    <t>Recapeamento Asfaltíco de Diversas Ruas no Distrito de Ameixas - Cumaru</t>
  </si>
  <si>
    <t>Jepac Construções Ltda.</t>
  </si>
  <si>
    <t>0319.916-13</t>
  </si>
  <si>
    <t>PROC.LICIT. Nº 007/2011-CEL, CONCORRÊNCIA Nº 005/2011-CEL</t>
  </si>
  <si>
    <t>Corredor Norte-Sul</t>
  </si>
  <si>
    <t>0319.914-95</t>
  </si>
  <si>
    <t>17.393.547/0001-05</t>
  </si>
  <si>
    <t>Consórcio EMSA/ATERPA</t>
  </si>
  <si>
    <t>026/2011</t>
  </si>
  <si>
    <t>0319.910-59</t>
  </si>
  <si>
    <t>020/2012</t>
  </si>
  <si>
    <t>Geossistemas Engenharia e Planejamento Ltda</t>
  </si>
  <si>
    <t>021/2012</t>
  </si>
  <si>
    <t>040/2012</t>
  </si>
  <si>
    <t>DNIT</t>
  </si>
  <si>
    <t>001/2017</t>
  </si>
  <si>
    <t>SECRETARIA DE JUSTIÇA E DOS DIREITOS HUMANOS</t>
  </si>
  <si>
    <t>PROJETEC-PROJETOS TÉCNICOS LTDA</t>
  </si>
  <si>
    <t>4.4.90-39-(OUTROS SERVIÇOS DE TERCEIRO)</t>
  </si>
  <si>
    <t>LOQUIPE</t>
  </si>
  <si>
    <t>PONTUALIDADE Construção Ltda-EPP</t>
  </si>
  <si>
    <t>011/2016-SJDH</t>
  </si>
  <si>
    <t>CN 003/2013</t>
  </si>
  <si>
    <t>Execução da Readequação da Rodovia PE-009, trecho: entroncamento da PE-038 (Nossa Senhora do Ó/Porto de Galinhas), numa extensão de 8,5km.</t>
  </si>
  <si>
    <t>ESSE ENGENHARIA, SINALIZAÇÃO E SERVIÇOS ESPECIAIS LTDA</t>
  </si>
  <si>
    <t>SECRETARIA DE DESENVOLVIMENTO ECONÔMICO</t>
  </si>
  <si>
    <t>CC 001/2013 CEL</t>
  </si>
  <si>
    <t>Execução das obras de implantação do acesso viário da fábrica da FIAT no município de Goiana</t>
  </si>
  <si>
    <t>18.582.145/0001-03</t>
  </si>
  <si>
    <t>Consórcio Construcap/Lidermac</t>
  </si>
  <si>
    <t>Obra finalizada em 27/07/2015</t>
  </si>
  <si>
    <t>TPF ENGENHARIA LTDA</t>
  </si>
  <si>
    <t>CC 001/2013 CPL</t>
  </si>
  <si>
    <t xml:space="preserve">282/2007 </t>
  </si>
  <si>
    <t>COMPANHIA PERNAMBUCANA DE HABITAÇÃO E OBRAS</t>
  </si>
  <si>
    <t>Serviços de revestimento do canal (Estaca 0+0,00m até a estaca 116+3,60m) e construção de 08 (oito) Obras de Arte, na localidade da Bacia do Fragoso II no município de Olinda</t>
  </si>
  <si>
    <t>269.994-93/2010</t>
  </si>
  <si>
    <t>61.099.826/0001-44</t>
  </si>
  <si>
    <t>CONSTRUTORA FERREIRA GUEDES S/A</t>
  </si>
  <si>
    <t>Concorrência nº 003/2010-  CEL</t>
  </si>
  <si>
    <t>Construção de 105 unidades habitacionais, no município de Garanhuns-PE</t>
  </si>
  <si>
    <t>258.165-30/2008</t>
  </si>
  <si>
    <t>045/2010</t>
  </si>
  <si>
    <t>Concorrência n° 004/2013 - CPLOSE</t>
  </si>
  <si>
    <t>Obras remanescentes para conclusão da construção de 600 (seiscentas) unidades habitacionais no Loteamento Fazenda Suassuna I, no município de Jaboatão dos Guararapes/PE.</t>
  </si>
  <si>
    <t>010/2014</t>
  </si>
  <si>
    <t>Concorrencia nº 003/2013 - CPLOSE</t>
  </si>
  <si>
    <t>Construção de 128 unidades habitacionais (conclusão), Pavimentação e drenagem de vias no bairro da Imbiribeira, Recife/PE (Comunidade de Sitio Grande e Dancing Days), nos termos da Concorrencia nº 003/2013 - CPLOSE.</t>
  </si>
  <si>
    <t>218.771-36/2007</t>
  </si>
  <si>
    <t>Processo: 00.392.213/0001-06  Dias: 06.002.195/0001-95</t>
  </si>
  <si>
    <t>CONSÓRCIO: PROCESSO ENGENHARIA LTDA E DIPON</t>
  </si>
  <si>
    <t>Concorrencia nº 003/2012</t>
  </si>
  <si>
    <t>Construção de 96 unidades habitacionais e implantação de infraestrutura básica na area de reassentamento,localizado na Av. Mauricio de Nassau-Bairro do Cordeiro,Recife/PE.(Escorregou ta Dentro)</t>
  </si>
  <si>
    <t>301.545-42/2009</t>
  </si>
  <si>
    <t>TROPICOS ENGENHARIA E COMERCIO LTDA</t>
  </si>
  <si>
    <t>013/2012</t>
  </si>
  <si>
    <t>Cancelada</t>
  </si>
  <si>
    <t>Concorrência nº 006/2009 - CEL</t>
  </si>
  <si>
    <t>Construção de 60 unidades habitacionais e implantação de infraestrutura básica, compreendendo: terraplenagem, pavimentação, drenagem, sistema de abastecimento d'água , esgotamento sanitárioe iluminação pública, no Distrito de Tejucupapo, no Município de Goiana/PE</t>
  </si>
  <si>
    <t>233.397-05/2007</t>
  </si>
  <si>
    <t>005/2010</t>
  </si>
  <si>
    <t>Concorrência nº 012/2009 -CEL</t>
  </si>
  <si>
    <t xml:space="preserve">Execução pelo regime de empreitada por preço unitário, para construção de 45 unidades habitacionais e implantação de infraestrutura básica, compreendendo: terraplenagem, pavimentação, drenagem, abastecimento d'água, esgotamento sanitário, iluminação pública, urbanização e melhorias habitacionais, na comunidade Multirão, no Município de Serra Talhada/PE </t>
  </si>
  <si>
    <t>233.406-18/2007</t>
  </si>
  <si>
    <t>Concorrência nº 008/2011 - CPLOSE</t>
  </si>
  <si>
    <t>Construção de 37 unidades habitacionais e implantação de infraestrutura básica de terraplenagem e pavimentação (Rua 01 e Rua 02), abastecimento d'água e esgotamento sanitário no Loteamento Queimadas - Município de Timbaúba</t>
  </si>
  <si>
    <t>233.408-36/2007</t>
  </si>
  <si>
    <t>041/2011</t>
  </si>
  <si>
    <t>Tomada de Preços nº 008/2013 - CPLOSE</t>
  </si>
  <si>
    <t>Contratação de empresa de engenharia para a execução de serviços remanescentes de infraestrutura de drenagem e linha D'agua, abastecimento de agua e esgotamento sanitario do Loteamento Jaçanã - 3ª etapa no Municipio de Santa Cruz do Capibaribe/PE.</t>
  </si>
  <si>
    <t>233.405-04/2007</t>
  </si>
  <si>
    <t>24.081.341/0002-88</t>
  </si>
  <si>
    <t>CONSTRUTORA TECPLAN LTDA</t>
  </si>
  <si>
    <t>Tomada de Preços nº 011/2013 - CPLOSE</t>
  </si>
  <si>
    <t>Contratação de empresa de engenharia para execução de serviços de terraplenagem, pavimentação, drenagem e sistema de abastecimento d’água, para o Loteamento José Fernando Lobo, antiga Fazenda Limeirinha no Município de Lagoa do Carro</t>
  </si>
  <si>
    <t xml:space="preserve">250.296-41/2008 </t>
  </si>
  <si>
    <t>AMPLUSTEC CONSTRUÇÕES  E SERVIÇOS LTDA-EPP</t>
  </si>
  <si>
    <t>A iniciar</t>
  </si>
  <si>
    <t>Dispensa de Licitação nº 001/2015</t>
  </si>
  <si>
    <t>Serviços remanescentes da Construção de 512 Unidade Habitacionais verticalizadas, implantação de infraestrutura e Construção de equipamentos comunitários no Residencial do Canal do Jordão</t>
  </si>
  <si>
    <t>222.639-96/2007</t>
  </si>
  <si>
    <t>Concorrência nº 005/2012-CEL/SECID</t>
  </si>
  <si>
    <t>Realização das obras de adequação da II Perimetral Metropolitana Norte, trechos: entre a PE-015 (terminal de passageiros) / Via Metropolitana Norte (Casa Caiada) / entre PE-001 (Ponto Rio Doce). Fragoso II - Etapa 02</t>
  </si>
  <si>
    <t>Concorrência n° 004/2015 - CPLOSE</t>
  </si>
  <si>
    <t>Execução dos serviços por empresa de engenharia para execução de obras de implantação de Rede de Distribuição de Água para o Setor 3 da comunidade de Cajueiro Seco, no município de Jaboatão dos Guararapes/PE.</t>
  </si>
  <si>
    <t>01.958.324/0001-08</t>
  </si>
  <si>
    <t>PONTO FORTE CONSTRUÇÕES E EMPREENDIMENTOS LTDA.</t>
  </si>
  <si>
    <t>02.124.282/0001-64</t>
  </si>
  <si>
    <t>Tomada de Preços nº 004/2016 - CPLOSE</t>
  </si>
  <si>
    <t>SERVIÇOS DE TERRAPLENAGEM, PAVIMENTAÇÃO E DRENAGEM DAS RUAS PROJETADAS 1 E 2 E ACESSO À ELEVATÓRIA NO BAIRRO DO ALTO DO MOURA-CARUARU/PE.</t>
  </si>
  <si>
    <t>Carta Convite nº 002/2016</t>
  </si>
  <si>
    <t>RECUPERAÇÃO DOS BLOCOS DO CONJUNTO HABITACIONAL HÉLIO LEMOS, JARDIM PAULISTA BAIXO - PAULISTA/PE</t>
  </si>
  <si>
    <t>12.584.392/0001-62</t>
  </si>
  <si>
    <t>RÓTULA CONSTRUÇÕES LTDA.-EPP</t>
  </si>
  <si>
    <t>Tomada de Preços nº 003/2016</t>
  </si>
  <si>
    <t>CONSTRUÇÃO DE UM MURO DE FECHAMENTO DO EMPREENDIMENTO HABITACIONAL CARLOS LAMARCA, NA AV.DAS GARÇAS, S/N-IV ETAPA DE RIO DOCE-OLINDA/PE</t>
  </si>
  <si>
    <t>ATLANTA HOLDING IMPLEMENTOS, PARTICIPAÇÕES E ENGENHARIA LTDA-ME</t>
  </si>
  <si>
    <t>Tomada de Preços nº 008/2016</t>
  </si>
  <si>
    <t>PAVIMENTAÇÃO DA RUA SIANOL, VIA DE ACESSO AO CONJUNTO HABITACIONAL VITÓRIA DO FORTE, EM ITAMARACÁ/PE</t>
  </si>
  <si>
    <t>CEPE</t>
  </si>
  <si>
    <t>EC002/2014-CPL</t>
  </si>
  <si>
    <t>394.931-79/2012</t>
  </si>
  <si>
    <t>CAIXA ECONÔMICA FEDERAL</t>
  </si>
  <si>
    <t>35.541.010/0001-19</t>
  </si>
  <si>
    <t>ETP001/2014-CSL</t>
  </si>
  <si>
    <t>AMPLIAÇÃO DO SISTEMA DE PRODUÇÃO DOS POÇOS DA BAIXA FUNDA</t>
  </si>
  <si>
    <t>05.473.496/0001-34</t>
  </si>
  <si>
    <t>VIZIR ENGENHARIA LTDA</t>
  </si>
  <si>
    <t>EC008/2014-CPL</t>
  </si>
  <si>
    <t>RDC001/2015-CPL</t>
  </si>
  <si>
    <t>394.930-65/2012</t>
  </si>
  <si>
    <t>15.023.999/0001-61</t>
  </si>
  <si>
    <t>DP006358/2016</t>
  </si>
  <si>
    <t>EC023/2012-CEL</t>
  </si>
  <si>
    <t>10.634.830/0001-24</t>
  </si>
  <si>
    <t>EC009/2014-CEL-1</t>
  </si>
  <si>
    <t>41.042.367/0001-55</t>
  </si>
  <si>
    <t>ETP011/2015-CPL</t>
  </si>
  <si>
    <t>11.116.202/0001-10</t>
  </si>
  <si>
    <t>CAP ENGENHARIA LTDA.</t>
  </si>
  <si>
    <t>SUBSTITUIÇÃO DE TRECHO DA ADUTORA DE SALTINHO PARA TAMANDARÉ.</t>
  </si>
  <si>
    <t>16.953.015/0001-04</t>
  </si>
  <si>
    <t>AVB ENGENHARIA E EMPREENDIMENTOS LTDA - EPP</t>
  </si>
  <si>
    <t>ETP003/2016-CPL</t>
  </si>
  <si>
    <t>EC008/2010-CPL</t>
  </si>
  <si>
    <t>ADEQUAÇÃO DO SISTEMA DE ABASTECIMENTO DE ÁGUA DE LIMOEIRO/PE.</t>
  </si>
  <si>
    <t>13.578.869/0001-60</t>
  </si>
  <si>
    <t>FLAMAC INCORPORACAO E CONSTRUCAO LTDA.</t>
  </si>
  <si>
    <t>SANEA-EMPREENDIMENTOS.PROJ.CONSULTORIA</t>
  </si>
  <si>
    <t>CONSTRUTORA TRIEDRO LTDA</t>
  </si>
  <si>
    <t>GCM CONSTRUTORA E INCORPORADORA LTDA.</t>
  </si>
  <si>
    <t>LI002CEL13</t>
  </si>
  <si>
    <t>CONTRUÇÃO DO SISTEMA DE ESGOTAMENTO SANITARIO DE SURUBIM/PE</t>
  </si>
  <si>
    <t>MRM CONSTRUTORA LTDA</t>
  </si>
  <si>
    <t>69.936.730/0001-03</t>
  </si>
  <si>
    <t>PREGÃO ELETRÔNICO 09/2016</t>
  </si>
  <si>
    <t>Investimento</t>
  </si>
  <si>
    <t>Processo Licitatório nº 03/2013 - TP 01/2013</t>
  </si>
  <si>
    <t>Drenagem e pavimentação do Centro Integrado de Pesquisa Governador Miguel Arraes</t>
  </si>
  <si>
    <t>Via Técnica Construções e Serviços Ltda</t>
  </si>
  <si>
    <t>Construção de Centro de Treinamento da Agricultura Familiar e Reforma da Estação Experimental de Serra Talhada</t>
  </si>
  <si>
    <t>CTR nº 321816-41</t>
  </si>
  <si>
    <t>MDA/CEF</t>
  </si>
  <si>
    <t>12.633.292/000189</t>
  </si>
  <si>
    <t>Construtora Araújo e Silva Ltda</t>
  </si>
  <si>
    <t>Implantação de serviços de manutenção, assistencia técnica, modernização e requalificação do sistema de climatização</t>
  </si>
  <si>
    <t>N/A</t>
  </si>
  <si>
    <t>11.205.119/0001-17</t>
  </si>
  <si>
    <t>089/2015</t>
  </si>
  <si>
    <t>recuso próprio</t>
  </si>
  <si>
    <t>PORTO DO RECIFE</t>
  </si>
  <si>
    <t xml:space="preserve">CONTRATO DE PRESTAÇÃO DE        SERVIÇOS DE MANUTENÇÃO PREVENTIVA E CORRETIVA DOS EQUIPAMENTOS E INSTALAÇÕES DA PORTO DO RECIFE S.A.  ENTRE A PORTO DO RECIFE E A FIRMA: ENGEMAN MANUTENÇÃO DE EQUIPAMENTOS COM E INDÚSTRIA LTDA DE ACORDO COM AS CLÁUSULAS E CONDIÇÕES ABAIXO PACTUADAS. </t>
  </si>
  <si>
    <t>08.769.549/0001-57</t>
  </si>
  <si>
    <t>ENGEMAN MANUTENÇÃO DE EQUIPAMENTOS COM. E IND. LTDA</t>
  </si>
  <si>
    <t>Manutenção de Equipamentos - Código 3.390.37.03</t>
  </si>
  <si>
    <t>SUAPE</t>
  </si>
  <si>
    <t>PAD</t>
  </si>
  <si>
    <t>União</t>
  </si>
  <si>
    <t>CC 002/2011</t>
  </si>
  <si>
    <t>Obras de dragagem e derrocagem do canal de acesso externo ao porto organizado de Suape.</t>
  </si>
  <si>
    <t>TC 002/2010</t>
  </si>
  <si>
    <t>05.708.108/0001-57
30.276.927/0001-10</t>
  </si>
  <si>
    <t>Van Oord Serviços de Operações Marítimas Ltda</t>
  </si>
  <si>
    <t>073-11</t>
  </si>
  <si>
    <t>Execução de serviços de dragagem e aterro hidráulico para alargamento do canal n.º 1do Cluster Naval, no Complexo Industrial Portuário Governador Eraldo Gueiros - Suape</t>
  </si>
  <si>
    <t>Metropolitana de Engenharia e Comércio EIRELI</t>
  </si>
  <si>
    <t>056-15</t>
  </si>
  <si>
    <t>Execução da reforma do prédio da Torre de Controle no Complexo Industrial Portuário de Suape</t>
  </si>
  <si>
    <t>03.460.855/0001-93</t>
  </si>
  <si>
    <t>SEIC Serviço da Indústria da Construção LTDA - EPP</t>
  </si>
  <si>
    <t>039-16</t>
  </si>
  <si>
    <t>CCV 001/2016</t>
  </si>
  <si>
    <t>Análise do processo administrativo da execução das obras e serviços de duplicação do TDR-Norte e implantação e pavimentação do contorno do Cabo de Santo Agostinho, no Complexo Industrial Portuário de Suape-PE</t>
  </si>
  <si>
    <t>PDCA - Engenharia, Planejamento, Desenvolvimento, Consultoria e Assessoria LTDA - EPP</t>
  </si>
  <si>
    <t>051-16</t>
  </si>
  <si>
    <t>CIA DE SERVIÇOS URBANOS</t>
  </si>
  <si>
    <t>TP 03/2015</t>
  </si>
  <si>
    <t>17.156.048/0001-96</t>
  </si>
  <si>
    <t>VALOR CONTRATO APÓS ADITIVOS
(R$)</t>
  </si>
  <si>
    <t>Observações da Auditoria</t>
  </si>
  <si>
    <t>Quantidade de Contratos (und)</t>
  </si>
  <si>
    <t>Valor dos Contratos (R$)</t>
  </si>
  <si>
    <t>Valor Pago Total (R$)</t>
  </si>
  <si>
    <t>Paralisada/ Inacabada</t>
  </si>
  <si>
    <t>Pernambuco</t>
  </si>
  <si>
    <t/>
  </si>
  <si>
    <t>Casa Militar de Pernambuco</t>
  </si>
  <si>
    <t>Secretaria de Educação de Pernambuco</t>
  </si>
  <si>
    <t>Suspensa</t>
  </si>
  <si>
    <t>CONSTRUTORA INGAZEIRA LTDA</t>
  </si>
  <si>
    <t>VENCER ENGENHARIA E SERVIÇOS LTDA</t>
  </si>
  <si>
    <t>01/12/2015</t>
  </si>
  <si>
    <t>Consórcio de Transportes da Região Metropolitana do Recife Ltda</t>
  </si>
  <si>
    <t>Departamento de Estradas de Rodagem do Estado de Pernambuco</t>
  </si>
  <si>
    <t>Fundo Estadual de Saúde</t>
  </si>
  <si>
    <t>13/05/2013</t>
  </si>
  <si>
    <t>23/01/2014</t>
  </si>
  <si>
    <t>Instituto Agronômico de Pernambuco</t>
  </si>
  <si>
    <t>LAFEPE</t>
  </si>
  <si>
    <t>Polícia Militar de Pernambuco</t>
  </si>
  <si>
    <t>064/2014</t>
  </si>
  <si>
    <t>11.012.838/0001-11</t>
  </si>
  <si>
    <t>33.654.419/0011-98</t>
  </si>
  <si>
    <t>10.076.487/0001-40</t>
  </si>
  <si>
    <t>Contratação de empresa de engenharia para execução da 2ª etapa das obras de urbanização,contemplando construção de moradias, equipamentos sociais e infraestrutura urbana da ZEIS Ilha de Deus.</t>
  </si>
  <si>
    <t>Recife</t>
  </si>
  <si>
    <t>Secretaria de Saúde</t>
  </si>
  <si>
    <t>04.891.901/0001-71</t>
  </si>
  <si>
    <t>CC Estrada Construtora Ltda</t>
  </si>
  <si>
    <t>Bom Jardim</t>
  </si>
  <si>
    <t>SEPLAG/PE - GOVERNO DO ESTADO DE PERNAMNUCO</t>
  </si>
  <si>
    <t>TB - TEIXEIRA BOSSHARD CONSTRUÇÃO, CONSULTORIA LTDA – EPP.</t>
  </si>
  <si>
    <t>CONSTRUTORA MATIAS SILVA LTDA.</t>
  </si>
  <si>
    <t>CONSTRUÇÃO, AMPLIAÇÃO, CONCLUSÃO E REPAROS DE ESCOLAS DA REDE MUNICIPAL DESTE MUNICÍPIO.</t>
  </si>
  <si>
    <t>05623631/0001-80</t>
  </si>
  <si>
    <t>Carpina</t>
  </si>
  <si>
    <t>13.509.312/0001-77</t>
  </si>
  <si>
    <t>Ferreiros</t>
  </si>
  <si>
    <t>04/03/2016</t>
  </si>
  <si>
    <t>Jataúba</t>
  </si>
  <si>
    <t>LETTAL CONSTRUÇÕES LTDA.</t>
  </si>
  <si>
    <t>Limoeiro</t>
  </si>
  <si>
    <t>03492867/0001-08</t>
  </si>
  <si>
    <t>Evidência Construtora</t>
  </si>
  <si>
    <t>2012</t>
  </si>
  <si>
    <t>05646333/0001-06</t>
  </si>
  <si>
    <t>MF Engenharia LTDA</t>
  </si>
  <si>
    <t>10565011/0001-72</t>
  </si>
  <si>
    <t>Planalto do Pajeú Empreendimentos Ltda</t>
  </si>
  <si>
    <t>Ministerio das Cidades</t>
  </si>
  <si>
    <t>07526010/001-04</t>
  </si>
  <si>
    <t>Execução da Obra de Drenagens de Ruas do Bairro Severino Pinheiro neste Município</t>
  </si>
  <si>
    <t>13378482/0001-60</t>
  </si>
  <si>
    <t>Rogan LTDA</t>
  </si>
  <si>
    <t>MF.Eng. e Equip. Ltda</t>
  </si>
  <si>
    <t>Execução da Obra de Pavimentação Asfáltica da Rua Manoel Sebastião de Moura e de Parte da Rua Cap. Vilarim</t>
  </si>
  <si>
    <t xml:space="preserve"> Jepac Engenharia Ltda.</t>
  </si>
  <si>
    <t>05625079/0001-60</t>
  </si>
  <si>
    <t>Construtora Mardifi Ltda EPP</t>
  </si>
  <si>
    <t>Construtora Evidência</t>
  </si>
  <si>
    <t>03930312/0001-92</t>
  </si>
  <si>
    <t>ACR Engenharia e Consultoria LTDA EPP</t>
  </si>
  <si>
    <t>S.S. Serviços de Locação e Construção Ltda-EPP</t>
  </si>
  <si>
    <t>05130063/0001-86</t>
  </si>
  <si>
    <t>Delphi Serviços e Comércio LTDA</t>
  </si>
  <si>
    <t>10.610.140/0001-35</t>
  </si>
  <si>
    <t>EMPREITEIRA CONFIANÇA LTDA</t>
  </si>
  <si>
    <t>05.356.734/0001-21</t>
  </si>
  <si>
    <t>Santa Cruz do Capibaribe</t>
  </si>
  <si>
    <t>21/08/2014</t>
  </si>
  <si>
    <t>03/02/2015</t>
  </si>
  <si>
    <t>02/03/2015</t>
  </si>
  <si>
    <t>JVS Construtora Ltda EPP</t>
  </si>
  <si>
    <t>05/2014</t>
  </si>
  <si>
    <t>112/2012</t>
  </si>
  <si>
    <t>Toritama</t>
  </si>
  <si>
    <t>Vertentes</t>
  </si>
  <si>
    <t>Vicência</t>
  </si>
  <si>
    <t>Cabrobó</t>
  </si>
  <si>
    <t>Serviços de Engenharia relativos a construção de uma Quadra Coberta Com vestiário na comunidade Mãe Rosa interior desse municipio</t>
  </si>
  <si>
    <t>Construtora Matriz LTDA EPP</t>
  </si>
  <si>
    <t>Serviços de Engenharia relativos a construção de uma Quadra Coberta Com vestiário na comunidade quilombola Jatobá interior desse municipio</t>
  </si>
  <si>
    <t>JCS Construções Eireli epp</t>
  </si>
  <si>
    <t>S.A Souza Construtora Ltda-ME</t>
  </si>
  <si>
    <t>Dormentes</t>
  </si>
  <si>
    <t>26/03/2010</t>
  </si>
  <si>
    <t>Itacuruba</t>
  </si>
  <si>
    <t>Lagoa Grande</t>
  </si>
  <si>
    <t>Ouricuri</t>
  </si>
  <si>
    <t>14.138.176/0001-19</t>
  </si>
  <si>
    <t>Santa Cruz</t>
  </si>
  <si>
    <t>Santa Maria da Boa Vista</t>
  </si>
  <si>
    <t>01/12/2014</t>
  </si>
  <si>
    <t>03.340.259/0001-63</t>
  </si>
  <si>
    <t>Const. Amorim Ltda.</t>
  </si>
  <si>
    <t>31/14</t>
  </si>
  <si>
    <t>PRINCESA DO AGRESTE EMPREENDIMENTOS LTDA – ME</t>
  </si>
  <si>
    <t>Lagoa dos Gatos</t>
  </si>
  <si>
    <t>Palmeirina</t>
  </si>
  <si>
    <t>GOVERNO DO ESTADO DE PERNAMBUCO</t>
  </si>
  <si>
    <t>Quipapá</t>
  </si>
  <si>
    <t>Rio Formoso</t>
  </si>
  <si>
    <t>Sirinhaém</t>
  </si>
  <si>
    <t>12/03/2015</t>
  </si>
  <si>
    <t>Camaragibe</t>
  </si>
  <si>
    <t>Construção do mercado público de Camaragibe-PE</t>
  </si>
  <si>
    <t>USINA DE OBRAS EMPREENDIMENTOS LTDA</t>
  </si>
  <si>
    <t>Obras de pavimentação e drenagem em diversas ruas do município de Camaragibe-PE – Lote 01 ao 06</t>
  </si>
  <si>
    <t>CONSTRUTEC PROJETOS E OBRAS DE ENG CIVIL LTDA</t>
  </si>
  <si>
    <t>Chã de Alegria</t>
  </si>
  <si>
    <t>GLÓRIA DO GOITÁ</t>
  </si>
  <si>
    <t>Ipojuca</t>
  </si>
  <si>
    <t>Jaboatão dos Guararapes</t>
  </si>
  <si>
    <t>Pombos</t>
  </si>
  <si>
    <t>02/10/2015</t>
  </si>
  <si>
    <t>19.367.352/0001-08</t>
  </si>
  <si>
    <t>18/11/2015</t>
  </si>
  <si>
    <t>02/12/2014</t>
  </si>
  <si>
    <t>PAVIMENTAÇÃO EM PARALELEPÍPEDOS GRANÍTICOS COM CONSTRUÇÃO DE CALÇADAS EM VIAS DO BAIRRO DE CAUEIRAS.</t>
  </si>
  <si>
    <t>CONSTRUTORA BATISTA &amp; VASCONCELOS LTDA</t>
  </si>
  <si>
    <t>PAVIMENTAÇÃO EM PARALELEPÍPEDOS GRANÍTICOS COM CONSTRUÇÃO DE CALÇADAS EM VIAS SITUADAS NA SEDE DO MUNICÍPIO.</t>
  </si>
  <si>
    <t>CONSTRUTOA BARBOSA &amp; LIMA LTDA</t>
  </si>
  <si>
    <t>PAVIMENTAÇÃO EM PARALELEPÍPEDOS GRANÍTICOS COM CONSTRUÇÃO DE CALÇADAS EM RUAS SITUADAS NA USINA ALIANÇA.</t>
  </si>
  <si>
    <t>CONSTRUTORA BATISTA &amp; VASCOCELOS LTDA</t>
  </si>
  <si>
    <t>CONSTRUÇÃO DE 50 MELHORIAS SANITÁRIAS DOMICILIARES NA ZONA URBANA DESTE MUNICÍPIO</t>
  </si>
  <si>
    <t>Condado</t>
  </si>
  <si>
    <t>13.162.4860001-06</t>
  </si>
  <si>
    <t>construtora AS ltda</t>
  </si>
  <si>
    <t>GOIANA</t>
  </si>
  <si>
    <t>223/2014</t>
  </si>
  <si>
    <t>07.360.005/0001-74</t>
  </si>
  <si>
    <t>184/2015</t>
  </si>
  <si>
    <t>185/2015</t>
  </si>
  <si>
    <t>078/2011</t>
  </si>
  <si>
    <t>Construtora F &amp; Costa</t>
  </si>
  <si>
    <t>Igarassu</t>
  </si>
  <si>
    <t>Itambé</t>
  </si>
  <si>
    <t>CONTRATAÇÃO DE EMPRESA ESPECIALIZADA PARA PAVIMENTAÇÃO E RECUPERAÇÃO DE CALÇAMENTO DE DIVERSAS RUAS NESTE MUNICIPIO</t>
  </si>
  <si>
    <t>17.268.623/0001</t>
  </si>
  <si>
    <t>10.319.901/0001-02</t>
  </si>
  <si>
    <t>C.R.C CONSTRUÇÕES E EMPREENDIMENTOS LTDA</t>
  </si>
  <si>
    <t>EMANUELLA CONSTRUÇÕES LTDA</t>
  </si>
  <si>
    <t>20.010.332/0001-64</t>
  </si>
  <si>
    <t>Itapissuma</t>
  </si>
  <si>
    <t>CONTRATAÇÃO DE UMA EMPRESA DE ENGENHARIA PARA  CONSTRUÇÃO CIVIL DE 01 (UMA) QUADRA COBERTA COM VESTUÁRIOS, PARA PRÁTICA DE ESPORTES NA ESCOLA DILMA CECÍLIA NO DISTRITO DE BOTAFOGO NO MUNICÍPIO DE ITAPISSUMA/PE.</t>
  </si>
  <si>
    <t>FNDE (FUNDO NACIONAL DE DESENVOLVIMENTO DA EDUCAÇÃO)/IMPLANT.ADEQ.ESTRUTURAS ESPORTIVAS ESCOLAR</t>
  </si>
  <si>
    <t>02.072.733/0001-68</t>
  </si>
  <si>
    <t>TRENA CONSTRUÇÃO LTDA</t>
  </si>
  <si>
    <t>027/2012</t>
  </si>
  <si>
    <t>Olinda</t>
  </si>
  <si>
    <t>Paulista</t>
  </si>
  <si>
    <t>Tracunhaém</t>
  </si>
  <si>
    <t>Bom Conselho</t>
  </si>
  <si>
    <t>Brejão</t>
  </si>
  <si>
    <t>20/02/2017</t>
  </si>
  <si>
    <t>N.B Construções LTDA</t>
  </si>
  <si>
    <t>J BENEVIDES DA SILVA EIRELLI EPP</t>
  </si>
  <si>
    <t>Capoeiras</t>
  </si>
  <si>
    <t>Iati</t>
  </si>
  <si>
    <t>Jatobá</t>
  </si>
  <si>
    <t>Lagoa do Ouro</t>
  </si>
  <si>
    <t>Ministério da Educação/FNDE</t>
  </si>
  <si>
    <t>Planalto Pajeú Empreendimentos Ltda</t>
  </si>
  <si>
    <t>Paranatama</t>
  </si>
  <si>
    <t>Pedra</t>
  </si>
  <si>
    <t>Pesqueira</t>
  </si>
  <si>
    <t>Saloá</t>
  </si>
  <si>
    <t>069/2012</t>
  </si>
  <si>
    <t>25/08/2014</t>
  </si>
  <si>
    <t>095/2014</t>
  </si>
  <si>
    <t>31/05/2013</t>
  </si>
  <si>
    <t>Barra de Guabiraba</t>
  </si>
  <si>
    <t>Belo Jardim</t>
  </si>
  <si>
    <t>Bonito</t>
  </si>
  <si>
    <t>090/2012</t>
  </si>
  <si>
    <t>Caruaru</t>
  </si>
  <si>
    <t>MIN. DO TURISMO / CAIXA-CONVENIO SICONV 764340</t>
  </si>
  <si>
    <t>Cumaru</t>
  </si>
  <si>
    <t>Gravatá</t>
  </si>
  <si>
    <t>30/10/2013</t>
  </si>
  <si>
    <t>Cancelada por falta de recursos</t>
  </si>
  <si>
    <t>Sanharó</t>
  </si>
  <si>
    <t>DISTRATO</t>
  </si>
  <si>
    <t>Tacaimbó</t>
  </si>
  <si>
    <t>10/01/2014</t>
  </si>
  <si>
    <t>Calumbi</t>
  </si>
  <si>
    <t>10.573.023/0001-49</t>
  </si>
  <si>
    <t>FNDE – FUNDO NACIONAL DE DESENVOLVIMENTO DA EDUCAÇÃO</t>
  </si>
  <si>
    <t>FEM - Fundo Estadual de Apoio ao Desenvolvimento Municipal</t>
  </si>
  <si>
    <t>CONSTRUÇÃO DE CALÇAMENTO EM PARALELEPÍPEDOS E MEIO-FIO EM DIVERSAS RUAS DO MUNICÍPIO DE CARNAÍBA-PE.</t>
  </si>
  <si>
    <t>J. ANCHIETA SILVA CONSTRUÇÕES LTDA.</t>
  </si>
  <si>
    <t>17.333.789/0001-96</t>
  </si>
  <si>
    <t>14/05/2015</t>
  </si>
  <si>
    <t>03/02/14</t>
  </si>
  <si>
    <t>10/03/2014</t>
  </si>
  <si>
    <t>Serra Talhada</t>
  </si>
  <si>
    <t>Solidão</t>
  </si>
  <si>
    <t>Moreilândia</t>
  </si>
  <si>
    <t>Tupanatinga</t>
  </si>
  <si>
    <t>CONCUIDO</t>
  </si>
  <si>
    <t>30/12/2014</t>
  </si>
  <si>
    <t>08/12/2014</t>
  </si>
  <si>
    <t>10/10/2016</t>
  </si>
  <si>
    <t>Iguaracy</t>
  </si>
  <si>
    <t>Justificativa Recebida</t>
  </si>
  <si>
    <t>Data da Resposta</t>
  </si>
  <si>
    <t>Nº Ofício de resposta</t>
  </si>
  <si>
    <t>Nº PETCE</t>
  </si>
  <si>
    <t>003/2017</t>
  </si>
  <si>
    <t>Total Contrato+Aditivos</t>
  </si>
  <si>
    <t>014/2017</t>
  </si>
  <si>
    <t>007/2017</t>
  </si>
  <si>
    <t>046/2017</t>
  </si>
  <si>
    <t>096/2017</t>
  </si>
  <si>
    <t>151/2017</t>
  </si>
  <si>
    <t>018/2017</t>
  </si>
  <si>
    <t>143/2017</t>
  </si>
  <si>
    <t>030/2017</t>
  </si>
  <si>
    <t>080/2017</t>
  </si>
  <si>
    <t>006/2017</t>
  </si>
  <si>
    <t>SERVIÇOS DE CONSTRUÇÃO DE 01 ESCOLA NO POVOADO DE MOCOS</t>
  </si>
  <si>
    <t>SERVIÇOS DE COBERTURA DA QUADRA POLIESPORTIVA DA ESCOLA PADRE IBIAPINA</t>
  </si>
  <si>
    <t xml:space="preserve">SERVIÇOS DE PAVIMENTAÇÃO EM PARALELEPIPEDOS EM DIVERSAS RUAS NO MUNICÍPIO </t>
  </si>
  <si>
    <t>026, 027 e 028/2014</t>
  </si>
  <si>
    <t>SECID/PE</t>
  </si>
  <si>
    <t>SERVIÇOS DE REFORMA DE DIVERSOS PRÉDIOS MUNICIPAIS</t>
  </si>
  <si>
    <t>GM INCORPORADORA E SERVIÇOS DE TRANSPORTES LTDA</t>
  </si>
  <si>
    <t>AROLDO SILVA CONSTRUÇÕES LTDA - ME</t>
  </si>
  <si>
    <t>SERVIÇOS DE RECUPERAÇÃO DAS VIAS URBANAS NO MUNICÍPIO</t>
  </si>
  <si>
    <t>SKALLA INCORPORADORA LTDA – EPP</t>
  </si>
  <si>
    <t>SERVIÇOS DE CONSTRUÇÃO DE UMA QUADRA POLIESPORTIVA EM QUEIMADAS</t>
  </si>
  <si>
    <t>SEDUC/PE</t>
  </si>
  <si>
    <t>ASSEMBLÉIA LEGISLATIVA DO ESTADO DE PERNAMBUCO</t>
  </si>
  <si>
    <t>011/2011</t>
  </si>
  <si>
    <t>Contrato encerrado</t>
  </si>
  <si>
    <t>São José do Belmonte</t>
  </si>
  <si>
    <t>13/04/2010</t>
  </si>
  <si>
    <t>22/06/2010</t>
  </si>
  <si>
    <t>16/12/2011</t>
  </si>
  <si>
    <t>TEC HIDRO - SERV. TECNICO E COM. LTDA</t>
  </si>
  <si>
    <t>A B L ENGENHARIA COMERCIO E REPRESENTACAO LTDA</t>
  </si>
  <si>
    <t>CONSTRUTORA INGAZEIRA LTDA.</t>
  </si>
  <si>
    <t>22/08/2014</t>
  </si>
  <si>
    <t>Contratação de empresa de engenharia para pavimentação do sistema viário em diversas ruas do município conforme convênio nº 019/2012.</t>
  </si>
  <si>
    <t>05/01/2012</t>
  </si>
  <si>
    <t>06/08/2014</t>
  </si>
  <si>
    <t>18/05/2012</t>
  </si>
  <si>
    <t>13/10/2014</t>
  </si>
  <si>
    <t>14/07/2014</t>
  </si>
  <si>
    <t>26/09/2013</t>
  </si>
  <si>
    <t>002/14</t>
  </si>
  <si>
    <t>SANTIAGO EMPREENDIMENTOS LTDA</t>
  </si>
  <si>
    <t>21/08/2015</t>
  </si>
  <si>
    <t>PRAXEDES LTDA EPP</t>
  </si>
  <si>
    <t>23/01/2015</t>
  </si>
  <si>
    <t>26/02/2015</t>
  </si>
  <si>
    <t>06/06/2012</t>
  </si>
  <si>
    <t>01/05/2015 (Conclusão)</t>
  </si>
  <si>
    <t>23/07/2012</t>
  </si>
  <si>
    <t>09/01/2014</t>
  </si>
  <si>
    <t>09.478.448/0001-90</t>
  </si>
  <si>
    <t>RAQUEL GOMES GONÇALVES-ME</t>
  </si>
  <si>
    <t>41.036.765/0001-69</t>
  </si>
  <si>
    <t>07.599.964/0001-47</t>
  </si>
  <si>
    <t>TOMADA DE PREÇO 003/2015</t>
  </si>
  <si>
    <t>025/2017</t>
  </si>
  <si>
    <t>CR 1.007.891-10/13</t>
  </si>
  <si>
    <t>22/06/2016</t>
  </si>
  <si>
    <t>033/2017</t>
  </si>
  <si>
    <t>150/2017</t>
  </si>
  <si>
    <t>Observações da Auditoria Específica em campo.</t>
  </si>
  <si>
    <t>121/2015</t>
  </si>
  <si>
    <t>Análise da Resposta ao Ofício Enviado Pelo TCE-PE</t>
  </si>
  <si>
    <t>Dados da Resposta</t>
  </si>
  <si>
    <t>Resposta dos Jurisdicionados ao Ofício Enviado Pelo TCE-PE</t>
  </si>
  <si>
    <t>TP002/2016 / PL. 006/2016.TP002/2016</t>
  </si>
  <si>
    <t xml:space="preserve">Empresa especializada na execução da obra da construção de 01 cozinha comunitária na comunidade quilombola de angico no município de Bom Conselho no estado de Pernambuco  </t>
  </si>
  <si>
    <t>FUNDO ESPECIAL DE REAPARELHAMENTO E MODERNIZAÇÃO DO PODER JUDICIÁRIO DO ESTADO DE PERNMABUCO</t>
  </si>
  <si>
    <t>Pregâo Presencial Nº 004/2015</t>
  </si>
  <si>
    <t>Tomada de Preços Nº 003/2016</t>
  </si>
  <si>
    <t>Execução dos serviços de Reforma e Adequação da DISOL II</t>
  </si>
  <si>
    <t>Processo nº 005 / TP nº 007 (2012)</t>
  </si>
  <si>
    <t>PROCESSO LICITATÓRIO Nº 003/2017 - TOMADA DE PREÇO Nº 003/2017</t>
  </si>
  <si>
    <t>PROCESSO LICITATÓRIO Nº 034/2014 - CONCORRENCIA NACIONAL Nº            008/2014</t>
  </si>
  <si>
    <t>PROCESSO Nº 009/2015 - CONCORRENCIA NACIONAL Nº     002/2015</t>
  </si>
  <si>
    <t>Processo Licitatório nº 007/2010 - Carta Convite 003/2010</t>
  </si>
  <si>
    <t>Processo Licitatório nº 008/2010 - Tomada de Preço 002/2010</t>
  </si>
  <si>
    <t>Processo Licitatório nº 012/2016 - Tomada de Preços nº 007/2016 - Tipo Menor Preço</t>
  </si>
  <si>
    <t>Recuperação do Estádio Municipal Luiz Rodolfo em Macaparana</t>
  </si>
  <si>
    <t>PL23/14 ARP 12/16</t>
  </si>
  <si>
    <t>Fornecimento e Instalação de Divisórias Piso-Teto</t>
  </si>
  <si>
    <t>CHAMADA PÚBLICA
Nº. 002/2014</t>
  </si>
  <si>
    <t>Construção de UBS Sede do Municípoo, Juá do Manso e Serra da Onça</t>
  </si>
  <si>
    <t>Reforma de UBS Valdemar Lima, Lagoa de João Carlos, Patos, Capivara e Sede</t>
  </si>
  <si>
    <t>Urbanização do corredor viário do Centro do Município de Frei Miguelinho</t>
  </si>
  <si>
    <t>Reforma das Escolas Municipais</t>
  </si>
  <si>
    <t>Água para Todos</t>
  </si>
  <si>
    <t>Contrução de uma quadra poliesportiva no Povoado de Placas</t>
  </si>
  <si>
    <t>Reforma do Mercado Público de Capivara</t>
  </si>
  <si>
    <t>TP 001/2017</t>
  </si>
  <si>
    <t>TP 001/2015 - LOTE 1, 2, 3 e 4.</t>
  </si>
  <si>
    <t xml:space="preserve">Pavimentação em Paralelepípedos Graníticos e Sinalização de diversas ruas em Glória do Goitá </t>
  </si>
  <si>
    <t>TP 008/2014 -FEM 14</t>
  </si>
  <si>
    <t xml:space="preserve">Pavimentação em Pedras Graniticas e meio fio de diversas ruas do Bairro Nova Glória, Apoi, e Vila Nossa Senhroa da Glótia em Glória do Goitá </t>
  </si>
  <si>
    <t>CONSTRUÇÃO DE CRECHE TIPO B - PADÃO FNDE</t>
  </si>
  <si>
    <t xml:space="preserve">Proc.nº: 016/2016, Concorrência nº 005/2016.                                                         </t>
  </si>
  <si>
    <t>SERVIÇOS DE CONCLUSÃO DE UMA CRECHE TIPO B NOVA GOIANA</t>
  </si>
  <si>
    <t>proc licitatório nº 075/2011, Concorrência nº 005/2011.</t>
  </si>
  <si>
    <t>SERVIÇOS DE CONSTRUÇÃO DE UMA CRECHE TIPO B NOVA GOIANA, QUADRA COBERTA COM PALCO DA ESCOLA MUNICIPAL MARIE ARMELLE, QUADRA COBERTA COM PALCO DA ESCOLA MUNICIPAL CAPELA SÃO SEBASTIÃO</t>
  </si>
  <si>
    <t xml:space="preserve">Proc. licitatório nº 050/2015, Tomada de Preços 008/2015 </t>
  </si>
  <si>
    <t>SERVIÇOS DE CONCLUSÃO DA QUADRA COBERTA COM PALCO NA ESCOLA MARIE ARMELLE</t>
  </si>
  <si>
    <t>SERVIÇOS DE CONCLUSÃO QUADRA ESCoLAR COBERTA COM PALCO NA ESCOLA  CAPELA SÃO SEBASTIÃO</t>
  </si>
  <si>
    <t>TOMADA DE PREÇO 002/2013</t>
  </si>
  <si>
    <t>CONSTRUÇÃO DE OBRAS PACTUADAS PELO MUNICÍPIO E PENDÊNCIAS LOTE 02 QUADRA COBERTA COM VESTUÁRIO DA ESCOLA MUNICIPAL PRESIDENTE COSTA E SILVA</t>
  </si>
  <si>
    <t>CONSTRUÇÃO DE OBRAS PACTUADAS PELO MUNICÍPIO E PENDÊNCIAS LOTE 02 QUADRA COBERTA COM VESTUÁRIO DA ESCOLA MUNICIPAL ADÉLIA CARNEIRO PEDROSA</t>
  </si>
  <si>
    <t>Proc. licitatório nº 049/2015, Tomada de Preços 007/2015</t>
  </si>
  <si>
    <t>SERVIÇOS DE CONCLUSÃO QUADRA ESCOLAR COBERTA COM PALCO NA ESCOLA  CAPELA SÃO SEBASTIÃO</t>
  </si>
  <si>
    <t>Proc. licitatório nº 050/2015, Tomada de Preços 008/2015</t>
  </si>
  <si>
    <t>SERVIÇOS DE CONCLUSÃO DA QUADRA ESCOLAR COBERTA COM PALCO NA ESCOLA MARIE ARMELLE</t>
  </si>
  <si>
    <t>RDC 01 2014</t>
  </si>
  <si>
    <t>REFORMA DO POSTO MÉDICO DENTÁRIO VIEIRA DE MENEZES ( BARRA DE CATUAMA)</t>
  </si>
  <si>
    <t>REFORMA DO PSF DE CATUAMA</t>
  </si>
  <si>
    <t>REFORMA DO PSF DE PONTAS DE PEDRA</t>
  </si>
  <si>
    <t>REFORMA DO PSF DE NOVA DIVISÃO (TEJUCUPAPO)</t>
  </si>
  <si>
    <t>REFORMA DO CTA (CENTRO DE TESTAGEM E ACOLHIMENTO)</t>
  </si>
  <si>
    <t>CONSTRUÇÃO DE DUAS ACADEMIAS NO MUNICÍPIO DE GOIANA NO MUNICÍPIO DE GOIANA DIVIDIDA EM DOIS LOTES - LOTE I CONSTRUÇÃO DE UMA ACADEMIA DA SAÚDE NA PRAÇA DA BÍBLIA LOTE II CONSTRUÇÃO DE UMA ACADEMIA DA SAÚDE NA PRAÇA FREI FELICIANO</t>
  </si>
  <si>
    <t>CC 002/2013</t>
  </si>
  <si>
    <t xml:space="preserve">CONSTRUÇÃO DO PEC - PRAÇA DE ESPORTES E CULTURA – LOTEAMENTO GULANDIM PONTAS DE PEDRA </t>
  </si>
  <si>
    <t>CC 002/2014</t>
  </si>
  <si>
    <t>PAVIMENTAÇÃO EM PARALELEPÍPEDOS GRANÍTICOS NA SEDE E NO DISTRITO</t>
  </si>
  <si>
    <t>SERVIÇOS DE REFORMA NA PRAÇA LAURA NOGUEIRA SITUADA NO LOTEAMENTO CASTELA BRANCO S/N</t>
  </si>
  <si>
    <t>CONSTRUÇÃO DO CENTRO DE INICIAÇÃO AO ESPORTE</t>
  </si>
  <si>
    <t xml:space="preserve">Processo Licitatório 010/2015 Concorrência Pública 01/2015 </t>
  </si>
  <si>
    <t>CONSTRUÇÃO DO COMPLEXO COMERCIAL E FEIRA LIVRE DE GOIANA</t>
  </si>
  <si>
    <t xml:space="preserve"> Processo de Licitação nº: 045/2015 Tomada de  Preço Nº 005/2015.</t>
  </si>
  <si>
    <t>SERVIÇO DE PAVIMENTAÇÃO DAS RUAS 01 E 02, RUA DA PRAÇA JÚLIO RABELO E DAS RUAS 01,02,03,04,05 E 06 DA LOCALIDADE DE ATAPUZ NO MUNICÍPIO DE GOIANA,</t>
  </si>
  <si>
    <t>Processo de Licitação nº: 044 / 2015; TP 04/2015</t>
  </si>
  <si>
    <t>PAVIMENTAÇÃO EM PARALELEPÍPEDOS GRANÍTICOS DAS RUAS DE CARNE DE VACA  E PONTAS DE PEDRA NO MUNICÍPIO DE GOIANA</t>
  </si>
  <si>
    <t>SERVIÇOS INICIAIS DA PRAÇA LAURA NOGUEIRA - LOTEAMENTO CASTELO BRANCO</t>
  </si>
  <si>
    <t>REFORMA PRAÇA DO CARMO</t>
  </si>
  <si>
    <t>CV007/2017</t>
  </si>
  <si>
    <t>Construção de uma Unidade Básica de Saúde no Distrito de Santa Rosa, Município  de Iat i- PE</t>
  </si>
  <si>
    <t>PAVIMENTAÇÃO DE VIAS</t>
  </si>
  <si>
    <t>RDC Nº 001/2016</t>
  </si>
  <si>
    <t xml:space="preserve">CONTRATAÇÃO DE PESSOA JURÍDICA PARA CONSTRUÇÃO DO CENTRO DE INICIAÇÃO AOS ESPORTES CIE/ME NO BAIRRO DE CRUZ DE REBOUÇAS, IGARASSU-PE. </t>
  </si>
  <si>
    <t>Tomada de Preço nº 00003/2016</t>
  </si>
  <si>
    <t>PAVIMENTAÇÃO ENTRE A PONTE DO RIO MACACO  E A AVENIDA ODILON RODRIGUE,RUA PROJETADA EM IRAJAI E RUA LUIZ QUARESMA EM JABITACA</t>
  </si>
  <si>
    <t>SERVIÇOS DE ENGENHARIA RELATIVOS À CONSTRUÇAO DE 01 (UMA) CRECHE PADRÃO TIPO 1 DO PROGRAMA PROINFANCIA FNDE, DO DISTRITO DE SERROLÂNDIA.</t>
  </si>
  <si>
    <t>TP 002/2017</t>
  </si>
  <si>
    <t>TP 008/2017</t>
  </si>
  <si>
    <t>CONTRATAÇÃO DE EMPRESA ESPECIALIZADA PARA EXECUÇÃO DAS OBRAS DE CONSTRUÇÃO DE 02 UNIDADES BASICAS DE SAUDE PADRAÕ 1</t>
  </si>
  <si>
    <t>CONVITE 37/2017</t>
  </si>
  <si>
    <t xml:space="preserve">MANUTENÇÃO DE ILUMINAÇÃO PÚBLICA </t>
  </si>
  <si>
    <t>TOMADA DE PREÇO 007/2012</t>
  </si>
  <si>
    <t>Contratação de Empresa Especializada para execução dos serviços de recuperação de pavimentos em paralelepípedos, intertravados e passeio em pedras portuguesas, em vias urbanas do Município de Jaboatão dos Guararapes  Lote 01</t>
  </si>
  <si>
    <t>Concorrência Nº01/2017</t>
  </si>
  <si>
    <t>CONSTRUÇÃO DE UMA ACADEMIA DA SAUDE</t>
  </si>
  <si>
    <t>TOMADA DE PREÇO 001/2017</t>
  </si>
  <si>
    <t>SERVIÇOS DE AMPLIAÇÃO DO SISTEMA DE GALERIAS</t>
  </si>
  <si>
    <t xml:space="preserve"> SERVIÇOS DE CONCLUSÃO DA REFORMAO E AMPLIAÇÃODOS PRÉDIOS MUNICIPAIS</t>
  </si>
  <si>
    <t>CV 008/2017</t>
  </si>
  <si>
    <t>SERVIÇOS DE AMPLIAÇÃO DO CEMITÉRIO MUNICIPAL</t>
  </si>
  <si>
    <t>TOMADA DE PREÇOS Nº 003-2016</t>
  </si>
  <si>
    <t>CONCLUSÃO DE ESPAÇO EDUCATIVO URBANO II, COM 6 SALAS (PADRÃO FNDE)</t>
  </si>
  <si>
    <t>TOMADA DE PREÇOS Nº 002/17</t>
  </si>
  <si>
    <t>CONSTRUÇÃO DE 01 (UMA) QUADRA ESCOLAR COBERTA COM VESTIÁRIO (PADRÃO FNDE/PAC) 02, NA ESCOLA DOM EXPEDITO LOPES</t>
  </si>
  <si>
    <t>T.P 007/2011</t>
  </si>
  <si>
    <t>Execução da Obra de Construção de 02 Praças Pública, uma na Av. Jerônimo Heráclio (Capitão Vilarim) e outra na Av. Severino Pinheiro</t>
  </si>
  <si>
    <t>Concorrêcia 
003/2011</t>
  </si>
  <si>
    <t>Execução dos Serviços de Revestimento Asfáltico e calçamento das Ruas de acesso ao Complexo Turístico Cultural Beira Rio, Arthur Correia e Congal</t>
  </si>
  <si>
    <t>Concorrência 
001/2012</t>
  </si>
  <si>
    <t>Urbanização da Av. Jerônimo Heráclio 2º Etapa</t>
  </si>
  <si>
    <t>Convite 023/2012</t>
  </si>
  <si>
    <t>Construção de Duas Praças Públicas neste Município (Praça Pirauira e São Sebastião)</t>
  </si>
  <si>
    <t>T.P 013/2012</t>
  </si>
  <si>
    <t>Urbanização do Canteiro Central da Av. Severino Pinheiro</t>
  </si>
  <si>
    <t>T.P 021/2012</t>
  </si>
  <si>
    <t>T.P. 009/2013</t>
  </si>
  <si>
    <t>Construção de Duas Praças Públicas neste Município (Praça Gameleira e João Ernesto)</t>
  </si>
  <si>
    <t>T.P. 010/2013</t>
  </si>
  <si>
    <t>Execução dos Serviços de Pavimentação e Drenagem nas ruas do Bairro Otácio de Lemos, neste Município</t>
  </si>
  <si>
    <t>T.P. 012/2013</t>
  </si>
  <si>
    <t>Execução dos Serviços de Base da Rua José Cordeiro, Canal do Bairro da Congal, Pavimentação do Entorno da Praça da Cohab e Urbanização de Calçadas e Canteiros Centrais em diversos pontos, neste Município</t>
  </si>
  <si>
    <t>Pavimentação e Drenagem Ruas Multirão Baixo e Loteamentos: Planalto Juá, Portal de Limoeiro e Santo Antonio, neste município</t>
  </si>
  <si>
    <t>T.P. 004/2014</t>
  </si>
  <si>
    <t>Execução da Pavimentação Asfáltica do Primeiro e Segundo Trecho da Rua Coronel Manoel de Aquino, neste Muncípio</t>
  </si>
  <si>
    <t>T.P. 005/2014</t>
  </si>
  <si>
    <t>Construção de Praças: Praça de Campo Grande e Praça da Cohab</t>
  </si>
  <si>
    <t>T.P. 006/2014</t>
  </si>
  <si>
    <t>Pavimentação em paralelepípedo e drenagem superficial de águas pluviais em diversos locais, neste Município</t>
  </si>
  <si>
    <t>T.P. 007/2014</t>
  </si>
  <si>
    <t>Concorrência 002/2017</t>
  </si>
  <si>
    <t>Construção de um (1) Ginásio Poliesportivo Regional no Município de Limoeiro/PE</t>
  </si>
  <si>
    <t>T.P. 015/2013</t>
  </si>
  <si>
    <t>Construção de 03(três) Academias da Saúde: Academia do Ponto Certo
(paralisada)</t>
  </si>
  <si>
    <t>T.P. 015/2014</t>
  </si>
  <si>
    <t>Construção de 03(três) Academias da Saúde: Academia Otácio de Lemos
(concluída)</t>
  </si>
  <si>
    <t>T.P. 015/2015</t>
  </si>
  <si>
    <t>Construção de 03(três) Academias da Saúde: Academia de Santana
(paralisada)</t>
  </si>
  <si>
    <t>Execução da Obra de uma Construção de 02 (duas) unidades básicas de saúde, sendo 01(Uma) UBS Santa Terezinha e 01(Uma) UBS Juá, ambas neste Município</t>
  </si>
  <si>
    <t>CONSTRUÇÃO DE UBS NO POVOADO UMBUZIERO DOCE</t>
  </si>
  <si>
    <t>CONSTRUÇÃO DE UBS NO POVOADO SERRA DO EXU</t>
  </si>
  <si>
    <t>CONSTRUÇÃO DA QUADRA DA ESCOLA MONSENHOR CARLOS NEVES CALÁBRIA</t>
  </si>
  <si>
    <t>PAVIMENTAÇÃO EM PARALELEPÍPEDOS GRANÍTICOS - VILA MADALENA E EUGÊNIO BANDEIRA</t>
  </si>
  <si>
    <t>PAVIMENTAÇÃO EM PARALELEPÍPEDOS GRANÍTICOS - FEM 03</t>
  </si>
  <si>
    <t>CV005/2017</t>
  </si>
  <si>
    <t>PAVIMENTAÇÃO DAS CALÇADAS DAS RUAS TÚLIO DIAS ALVES, VER. OTACÍLIO AZEVEDO, BENJAMIN VIEIRA E RUA 01 DO LOT. EUGÊNIO BANDEIRA</t>
  </si>
  <si>
    <t>CONSTRUÇÃO DE MURO NOS FUNDOS DO MATADOURO MUNICIPAL</t>
  </si>
  <si>
    <t>Concorrência Públical nº 001/2015</t>
  </si>
  <si>
    <t>Construção de Quadra Poliesportiva Coberta com Vestiário anexa à Escola Municipal Fernando Pinto Ribeiro (Lote 3)</t>
  </si>
  <si>
    <t>Dispensa nº 002/2017</t>
  </si>
  <si>
    <t>Contratação de empresa de engenharia para reforma das escolas municipais do Município dos Palmares, em caráter emergencial</t>
  </si>
  <si>
    <t xml:space="preserve">ESGOTAMENTO SANITÁRIO (SES) </t>
  </si>
  <si>
    <t>QUADRA COBERTA NO POVOADO DA QUIXABA</t>
  </si>
  <si>
    <t>CONSTRUÇÃO DE UBS (CENTRO)</t>
  </si>
  <si>
    <t>CONSTRUÇÃO DE QUADRA POLIESPORTIVA DESCOBERTA NA REGIÃO DA VOLTA</t>
  </si>
  <si>
    <t>CONSTRUÇÃO DE QUADRA POLIESPORTIVA DESCOBERTA NA REGIÃO DA FLORESTA DE BAIXO</t>
  </si>
  <si>
    <t>RECUPERAÇÃO DA BIBLIOTECA</t>
  </si>
  <si>
    <t>PAVIMENTAÇÃO DE PARALELEPÍPEDOS GRANÍTICOS DAS RUAS PROJETADA 1 E 2, LOTEAMENTO PRIMAVERA NA SEDE DO MUNICÍPIO</t>
  </si>
  <si>
    <t>CONSTRUÇÃO DE 20 CISTERNAS DE ALVENARIA</t>
  </si>
  <si>
    <t>012/2017</t>
  </si>
  <si>
    <t>RECUPERAÇÃO DE DIVERSAS ESCOLAS</t>
  </si>
  <si>
    <t>008/2017</t>
  </si>
  <si>
    <t>CONSTRUÇÃO DE PRIVADAS</t>
  </si>
  <si>
    <t>TP/N° 003/2015</t>
  </si>
  <si>
    <t>A CONSTRUÇÃO DE PAVIMENTAÇÃO EM PARALELEPÍPEDO NA ZONA RURAL DO MUNICÍPIO DE PESQUEIRA/PE.</t>
  </si>
  <si>
    <t>TP/N° 004/2015</t>
  </si>
  <si>
    <t>CONSTRUÇÃO E REFORMA DO DEPARTAMENTO DE ARRECADAÇÃO MUNICIPAL - DAMPE - PESQUEIRA-PE</t>
  </si>
  <si>
    <t>TP/ Nº 035/2015</t>
  </si>
  <si>
    <t>CONTRATAÇÃO DE EMPRESA DE ENGENHARIA PARA CONSTRUÇÃO DA COBERTURA DA QUADRA POLIESPORTIVA DA ESCOLA MUNICIPAL SANTO ANTÔNIO - PADRÃO FNDE - NO BAIRRO SANTO ANTÔNIO, ZONA URBANA DA CIDADE DE PESQUEIRA</t>
  </si>
  <si>
    <t>PP/ Nº 051/2017</t>
  </si>
  <si>
    <t>TOMADA DE PRECO</t>
  </si>
  <si>
    <t>CONSTRUÇÃO DE UBS DR. HERMÍNIO FERREIRA NETO</t>
  </si>
  <si>
    <t>Tomada de Preço nº 008/2016</t>
  </si>
  <si>
    <t>DRENAGEM DE ÁGUAS PLUVIAIS, PAVIMENTAÇÃO EM PARALELEPÍPEDO GRANÍTICO E CONCREDTO ARMADO NA RUA 19 SEVERO DUNGA E AVENIDA DA TAPUIO NO BAIRRO SÃO GONÇALO/RIO CORRENTE</t>
  </si>
  <si>
    <t>Dispensa de Licitação nº 232/2017</t>
  </si>
  <si>
    <t>Prestação de Serviços Relativos à Drenagem, com bomba de sucção, da lagoa do Bairro São Joaquim</t>
  </si>
  <si>
    <t>Pregão Presencial nº 208/2017</t>
  </si>
  <si>
    <t>EXECUTAR ENERGIA E SERVIÇOS LTDA-ME</t>
  </si>
  <si>
    <t>0328822-77/2010</t>
  </si>
  <si>
    <t>Ministério do Desenvolvimento Social e Agrário</t>
  </si>
  <si>
    <t>02/01/2017</t>
  </si>
  <si>
    <t>156/2017</t>
  </si>
  <si>
    <t>20/06/2013</t>
  </si>
  <si>
    <t>02/09/2013</t>
  </si>
  <si>
    <t>009/2017</t>
  </si>
  <si>
    <t>ARCLIMA ENGENHARIA LTDA</t>
  </si>
  <si>
    <t>HARPIA CONSTRUÇÕES LTDA</t>
  </si>
  <si>
    <t>065/2017</t>
  </si>
  <si>
    <t>2014/036/00</t>
  </si>
  <si>
    <t xml:space="preserve">28/05/2010(OS)
18/08/2010
</t>
  </si>
  <si>
    <t>CNPJ Nº 08.873.963/0001-01</t>
  </si>
  <si>
    <t xml:space="preserve">Construtora AR Ltda. - ME </t>
  </si>
  <si>
    <t>Construtora Ingazeira Ltda.   (Rota 04, 05, 06)</t>
  </si>
  <si>
    <t>010/2017</t>
  </si>
  <si>
    <t>CNPJ Nº  69.968.238/0001-01</t>
  </si>
  <si>
    <t xml:space="preserve">JCL Engenharia Ltda.  </t>
  </si>
  <si>
    <t>CNPJ Nº 03.507.255/0001-33</t>
  </si>
  <si>
    <t>Nova Era Engenharia Ltda.</t>
  </si>
  <si>
    <t>CNPJ Nº 69.968.238/0001-01
CNPJ Nº 00.120.518/0001-69</t>
  </si>
  <si>
    <t xml:space="preserve">JCL Engenharia Ltda. 
em consórcio com a
CONSTRUCAJ Construção Ltda. </t>
  </si>
  <si>
    <t>060/2017</t>
  </si>
  <si>
    <t>06.041.948/0001-71</t>
  </si>
  <si>
    <t>AMBIANCHI Industrial Ltda.</t>
  </si>
  <si>
    <t>087/17</t>
  </si>
  <si>
    <t>SESAN/MDS</t>
  </si>
  <si>
    <t>33.762.154/0001-70</t>
  </si>
  <si>
    <t>DIACONIA</t>
  </si>
  <si>
    <t>10.714.251/0001-91</t>
  </si>
  <si>
    <t>Diocese de Pesqueira</t>
  </si>
  <si>
    <t>Diocese de Caruaru</t>
  </si>
  <si>
    <t>Federação dos Trabalhadores na Agricultura do Estado de Pernambuco - FETAPE</t>
  </si>
  <si>
    <t>Z Paula Construções Limitadas</t>
  </si>
  <si>
    <t>13.253.384/0001-04  17.211.017/0001-90</t>
  </si>
  <si>
    <t>JVS Construtora e WC Construtora</t>
  </si>
  <si>
    <t>FEM 2 Governo do Estado</t>
  </si>
  <si>
    <t>Monte Sinai Empreendimentos e Construções LTDA</t>
  </si>
  <si>
    <t>24.127.557/0001-57</t>
  </si>
  <si>
    <t>SUDENE/Ministério da Inegração</t>
  </si>
  <si>
    <t>Rivaldo Lázaro da Silva EPP</t>
  </si>
  <si>
    <t>03.226.372.0001-29</t>
  </si>
  <si>
    <t>VL Tecnológica Limitada</t>
  </si>
  <si>
    <t>Próprio</t>
  </si>
  <si>
    <t>Construtora Marferrei LTDA  EPP</t>
  </si>
  <si>
    <t>015/2017</t>
  </si>
  <si>
    <t>26/11/2015</t>
  </si>
  <si>
    <t>16/05/2016</t>
  </si>
  <si>
    <t>Emanuelle Construções Ltda - Me</t>
  </si>
  <si>
    <t>132 /2016</t>
  </si>
  <si>
    <t xml:space="preserve">TEP Construtora Ltda </t>
  </si>
  <si>
    <t>Itapajeú Construções E Projetos Ltda Epp</t>
  </si>
  <si>
    <t>07.300.005/0001-74</t>
  </si>
  <si>
    <t>FUNDO MUNICIPAL DA SAÚDE</t>
  </si>
  <si>
    <t>Barros &amp; Araújo Engenharia Ltda</t>
  </si>
  <si>
    <t>CONVÊNIO DA SAÚDE</t>
  </si>
  <si>
    <t>MM Engenharia e Serviços Ltda</t>
  </si>
  <si>
    <t>036.3415-78/2012</t>
  </si>
  <si>
    <t>MINISTÉRIO DA CULTURA / CAIXA</t>
  </si>
  <si>
    <t>10.569.412/0001-69</t>
  </si>
  <si>
    <t>L&amp;D-Lacerda Construtora e Serviços</t>
  </si>
  <si>
    <t xml:space="preserve">Nº105/2013 </t>
  </si>
  <si>
    <t>Planalto Pajeu Empreendimentos Ltda – EPP</t>
  </si>
  <si>
    <t>MTURISMO/CAIXA</t>
  </si>
  <si>
    <t>09.047.935/0001-06</t>
  </si>
  <si>
    <t>A3t Construções e Incorporações</t>
  </si>
  <si>
    <t>1.019.644-27/2014</t>
  </si>
  <si>
    <t>MINISTÉRIO DA AGRICULTURA / CAIXA</t>
  </si>
  <si>
    <t>4,023.803/0001-12</t>
  </si>
  <si>
    <t>Construdantas Construções e Incorporações</t>
  </si>
  <si>
    <t>1.021.641-04/2014</t>
  </si>
  <si>
    <t>075/2017</t>
  </si>
  <si>
    <t>130/2017</t>
  </si>
  <si>
    <t>ECO Construtora e Incorporadora Ltda-ME</t>
  </si>
  <si>
    <t>040/2017</t>
  </si>
  <si>
    <t>23.392.263/0001-99</t>
  </si>
  <si>
    <t>029/2017</t>
  </si>
  <si>
    <t>487.500,00</t>
  </si>
  <si>
    <t xml:space="preserve"> 1009096-74 </t>
  </si>
  <si>
    <t>101.7712-53</t>
  </si>
  <si>
    <t>19.993.011/0001-48</t>
  </si>
  <si>
    <t>0425.883-66/2014</t>
  </si>
  <si>
    <t>03.539.154/0001-48</t>
  </si>
  <si>
    <t>MULTISET ENGENHARIA LTDA</t>
  </si>
  <si>
    <t xml:space="preserve"> Nº 023/2017</t>
  </si>
  <si>
    <t>MINISTÉRIO DAS CIDADES/ CAIXA ECONÔMICA FDERAL</t>
  </si>
  <si>
    <t>CONSTRUTORA JPN EMPREENDIMENTOS LTDA-ME</t>
  </si>
  <si>
    <t>1028311-75</t>
  </si>
  <si>
    <t>01.041/2016, 01.042/2016, 01.043/2016, 01.044/2016</t>
  </si>
  <si>
    <t>036/2017</t>
  </si>
  <si>
    <t>SEPLAG/FEM 2</t>
  </si>
  <si>
    <t>001/2018</t>
  </si>
  <si>
    <t>RLS CONSTRUÇÕES - RIVALDO LAZARO DA SILVA - EPP</t>
  </si>
  <si>
    <t>20418</t>
  </si>
  <si>
    <t>002/2017</t>
  </si>
  <si>
    <t>CONSTRUTORA AMBRELLA CONSTRUÇÃO E INCORPORADORA LTDA - ME</t>
  </si>
  <si>
    <t xml:space="preserve">S/N </t>
  </si>
  <si>
    <t>013/2017</t>
  </si>
  <si>
    <t>13.253.382/0001-04</t>
  </si>
  <si>
    <t>016/2017</t>
  </si>
  <si>
    <t>23.561.659/0001-12</t>
  </si>
  <si>
    <t>ESTRUTURAL SERVIÇOS EIRELE - ME</t>
  </si>
  <si>
    <t>030-2016</t>
  </si>
  <si>
    <t>B.L. CONSTRUTORA E SERVIÇOS LTDA</t>
  </si>
  <si>
    <t>69/17</t>
  </si>
  <si>
    <t>Ministério das Cidades - MCidades</t>
  </si>
  <si>
    <t>303.613-12/2009
303.561-98/2009</t>
  </si>
  <si>
    <t>Ministério do Turismo - MTur</t>
  </si>
  <si>
    <t>347.786-34/2010</t>
  </si>
  <si>
    <t>336.234-28/2010</t>
  </si>
  <si>
    <t>347.788-53/2010</t>
  </si>
  <si>
    <t>336.421-90/2010</t>
  </si>
  <si>
    <t>SECID/PE - Gov. do Estado de Pernambuco</t>
  </si>
  <si>
    <t>387.963-26/2012</t>
  </si>
  <si>
    <t>2.001/2013</t>
  </si>
  <si>
    <t xml:space="preserve">  Setra/PE - Gov. do Estado de Pernambuco</t>
  </si>
  <si>
    <t>1.002.290-12/2012</t>
  </si>
  <si>
    <t>A5 Consultoria e Empreendimentos Ltda</t>
  </si>
  <si>
    <t>1.017.003-16/2014</t>
  </si>
  <si>
    <t>Termo de Adesão 102/2014</t>
  </si>
  <si>
    <t>1.017.903-03/2014</t>
  </si>
  <si>
    <t>1.025.607-37/2015</t>
  </si>
  <si>
    <t>41244807/0001-57</t>
  </si>
  <si>
    <t>Construtora CarajásLtda</t>
  </si>
  <si>
    <t>11097.2920001/12-002
(2012)</t>
  </si>
  <si>
    <t>Ministério da Saúde (via SISMOB)</t>
  </si>
  <si>
    <t>11097.2920001/12-001
(2012)</t>
  </si>
  <si>
    <t>05625079/0001-61</t>
  </si>
  <si>
    <t>11097.2920001/12-003
(2012)</t>
  </si>
  <si>
    <t>05625079/0001-62</t>
  </si>
  <si>
    <t>UBS Santa Terezinha:
10628.6100001/14-003
(2014)</t>
  </si>
  <si>
    <t>14417792/0001-10</t>
  </si>
  <si>
    <t>01/06/2017</t>
  </si>
  <si>
    <t>041/2017</t>
  </si>
  <si>
    <t>02/09/2014</t>
  </si>
  <si>
    <t>00/2015</t>
  </si>
  <si>
    <t>N &amp; V COMÉRCIO E SERVIÇOS LTDA</t>
  </si>
  <si>
    <t>027/2017</t>
  </si>
  <si>
    <t>1007802-02/2013</t>
  </si>
  <si>
    <t>GRUPO MAIS - COMERCIO, LOCAÇÃO E CONSTRUÇÕES LTDA</t>
  </si>
  <si>
    <t>2692.1018258-28/2014</t>
  </si>
  <si>
    <t>MINISTERIO DA CIDADES - CAIXA ECONOMICA FEDERAL</t>
  </si>
  <si>
    <t>BRASILAR COMERCIO, INDUSTRIA E SERVIÇOS DE CONSTRUÇÃO LTDA EPP</t>
  </si>
  <si>
    <t>7605471-3/2016</t>
  </si>
  <si>
    <t>05/07/2016</t>
  </si>
  <si>
    <t>TERPAV INCORPORAÇÃO LTDA - EPP</t>
  </si>
  <si>
    <t>IG CONTRUTORA LTDA - ME</t>
  </si>
  <si>
    <t>08/08/2017</t>
  </si>
  <si>
    <t>4311/2013</t>
  </si>
  <si>
    <t>Governo Federal (Ministério da Educação)</t>
  </si>
  <si>
    <t>06/2017</t>
  </si>
  <si>
    <t>CONST. RONALDO MODESTO DE SOUSA &amp; CIA LTDA-ME</t>
  </si>
  <si>
    <t>CONST. LUMAX LTDA</t>
  </si>
  <si>
    <t>047/14</t>
  </si>
  <si>
    <t>CONST. MOREIRA E FEITOSA LTDA-ME</t>
  </si>
  <si>
    <t>CONST. TEND TUDO - LTDA</t>
  </si>
  <si>
    <t>039/14</t>
  </si>
  <si>
    <t>CONST. NELSON DE OLIVEIRA LTDA-EPP</t>
  </si>
  <si>
    <t>15.224.626/0001-59</t>
  </si>
  <si>
    <t>CONST. RIO LARGO LTDA-EPP</t>
  </si>
  <si>
    <t>17/16</t>
  </si>
  <si>
    <t>24.386.927/0001-70</t>
  </si>
  <si>
    <t>CONSTRUTORA SERRANA LTDA-ME</t>
  </si>
  <si>
    <t>CONLURB CONSTRUÇÕES E LIMPEZA URBANA LTDA</t>
  </si>
  <si>
    <t>B. L. CONSTRUTORA E SERVIÇOS LTDA - ME</t>
  </si>
  <si>
    <t>1.001.783-67</t>
  </si>
  <si>
    <t>400/2016</t>
  </si>
  <si>
    <t>222/2017</t>
  </si>
  <si>
    <t>10.523.159/0001-44</t>
  </si>
  <si>
    <t>AGNELO GONÇALVES DA SILVA</t>
  </si>
  <si>
    <t>232/2017</t>
  </si>
  <si>
    <t>345/2017</t>
  </si>
  <si>
    <t>07/09/2013</t>
  </si>
  <si>
    <t>27/07/2015</t>
  </si>
  <si>
    <t xml:space="preserve">180 DIAS </t>
  </si>
  <si>
    <t>31/12/2012</t>
  </si>
  <si>
    <t>90  DIAS</t>
  </si>
  <si>
    <t>30/12/13 a 20/11/16</t>
  </si>
  <si>
    <t>Não houve neste exercício</t>
  </si>
  <si>
    <t>Obra paralisada e inacabada em fev/15, com encerramento do vínculo contratual</t>
  </si>
  <si>
    <t>17/02/2018
17/08/2018</t>
  </si>
  <si>
    <t>Em processo na PGE
06/05/2018</t>
  </si>
  <si>
    <t>---</t>
  </si>
  <si>
    <t>30/08/2015</t>
  </si>
  <si>
    <t>1.201.508,79</t>
  </si>
  <si>
    <t>21/02/2015</t>
  </si>
  <si>
    <t>06/09/2017</t>
  </si>
  <si>
    <t>7.000,00</t>
  </si>
  <si>
    <t>Paralisada desde 09/12/14</t>
  </si>
  <si>
    <t>Concluída desde outubro/2015</t>
  </si>
  <si>
    <t>Paralisada desde dezembro/2014</t>
  </si>
  <si>
    <t>Paralisada desde 11/01/2017</t>
  </si>
  <si>
    <t>11/03/2015</t>
  </si>
  <si>
    <t>02/12/2016</t>
  </si>
  <si>
    <t xml:space="preserve">  09/04/2015</t>
  </si>
  <si>
    <t xml:space="preserve"> 10/07/2015</t>
  </si>
  <si>
    <t>1º Aditivo Supressão (751.000,00)/ 2º Supressão (3.494,60) 3ºTermo Aditivo Prazo(15 meses - 05/04/2016)/ 4º termo aditivo de acréscimo (405.899,95)/5º termo aditvo (3 meses - 05/07/2016)/ 6º termo Aditivo de Prazo (5 meses - 31/12/2016)/ 7º termo aditivo de prazo (7 meses - 01/07/2017)/ 8º termo aditivo de prazo (6 meses - 01/01/2018)/ 9º termo aditivo de acréscimo (R$ 68.571,37)</t>
  </si>
  <si>
    <t>1º termo adtivo de acréscimo (24.540,00)</t>
  </si>
  <si>
    <t>1º termo aditivo de acréscimo ( 36.819,38)/2º termo aditovo de prazo de execução/3º termo aditivo de prazo de vigência</t>
  </si>
  <si>
    <t xml:space="preserve">1º termo aditivo de acréscimo (4.785,86) </t>
  </si>
  <si>
    <t>1º termo aditivo de acrescimo ( 55.021,44)</t>
  </si>
  <si>
    <t>1º termo aditivo de acrescimo (90.639,95)</t>
  </si>
  <si>
    <t>1º termo aditivo de acrescimo (884,39)</t>
  </si>
  <si>
    <t>1º termo aditivo de acrescimo (3.111,24)</t>
  </si>
  <si>
    <t>1º termo aditivo de prazo (27/04/2017)/ 2º termo aditivo de prazo (27/09/2017)/ 3º termo aditivo de prazo (27/02/2018)/4º termo aditivo de acrescimo (R$ 8.366,86)/ 5º termo aditivo de prazo (</t>
  </si>
  <si>
    <t xml:space="preserve">99.615,87
</t>
  </si>
  <si>
    <t>Obra paralisada temporáriamente; aguardando análise CEF de processo carta convite para contratação de nova empresa para finalização dos serviços.</t>
  </si>
  <si>
    <t>recurso próprio</t>
  </si>
  <si>
    <t xml:space="preserve">3.819,66 (despesa decorrente de exercícios anteriores)  </t>
  </si>
  <si>
    <t>31.284,04 (despesa decorrente de exercícios anteriores)</t>
  </si>
  <si>
    <t>76.200,99 (despesa decorrente de exercícios anteriores)</t>
  </si>
  <si>
    <t>Aditivo 2014/036/01 redução de 24,52%, reduzindo para R$ 90.379,44 mensal. Aditivo 2014/036/03 reajuste de 14,46% , alterando para R$ 103.606,84 mensal. Aditivo 2014/036/04  reajuste de 4% , reajustando para 107.756,40 mensal. Aditivo 2014/036/05 reajuste de 3,97% passando para R$ 112.045,00 e, redução de R$ 2.219,73, totalizando o valor para R$ 110.045,20 mensal.</t>
  </si>
  <si>
    <t>REPROGRAMAÇÃO EM ANÁLISE NA CAIXA PENDENTE DE LICITAÇÃO</t>
  </si>
  <si>
    <t>RESCINDIDA</t>
  </si>
  <si>
    <t>RESCINDIDA, SERÁ LICITADA NOVAMENTE</t>
  </si>
  <si>
    <t>103020041024 (44.90.51.91)</t>
  </si>
  <si>
    <t>09.01.15.813.0008.1057.0000 (4.4.91.51.91)</t>
  </si>
  <si>
    <t>Inacabado</t>
  </si>
  <si>
    <t>05.01.12.361.0003.1059.0000 (4.4.90.51.91)</t>
  </si>
  <si>
    <t>09.01.20.605.0008.1042.0000 (4.4.90.51.91)</t>
  </si>
  <si>
    <t>EM PROCESSO DE DISTRATO UNILATERAL E AJUIZAMENTO - NOVA LICITAÇÃO - OBRA SE ENCONTRA PARALISADA</t>
  </si>
  <si>
    <t>10.301.1013.1.1010.4.4.9051</t>
  </si>
  <si>
    <t>EM PROCESSO DE AUDITORIA - OBRA SE ENCONTRA PARALISADA</t>
  </si>
  <si>
    <t>EM PROCESSO DE DISTRATO UNILATERAL  - NOVA LICITAÇÃO - OBRA SE ENCONTRA PARALISADA</t>
  </si>
  <si>
    <t>CONVÊNIO ANULADO DEVOLUÇÃO DE R$ 15.000,00</t>
  </si>
  <si>
    <t>EM PROCESSO DE DISTRATO UNILATERAL E NOVA LICITAÇÃO - OBRA SE ENCONTRA PARALISADA</t>
  </si>
  <si>
    <t>AGUARDANDO APROVAÇÃO DO MINISTÉRIO DA CULTURA/CAIXA</t>
  </si>
  <si>
    <t>387.494,51</t>
  </si>
  <si>
    <t>83.454,36</t>
  </si>
  <si>
    <t>59.862,94</t>
  </si>
  <si>
    <t>94.281,94</t>
  </si>
  <si>
    <t>44.90.51-01.13</t>
  </si>
  <si>
    <t>449051-02.41</t>
  </si>
  <si>
    <t xml:space="preserve">NÃO INICIADA </t>
  </si>
  <si>
    <t>371.587,91</t>
  </si>
  <si>
    <t>154.467,37</t>
  </si>
  <si>
    <t>PARALISADA AGUARDA LIBERAÇÃO DO MINISTERIO DESDE MAIO/2017</t>
  </si>
  <si>
    <t xml:space="preserve">EM NOVO PROCESSO LICITATÓRIO </t>
  </si>
  <si>
    <t>CONTRATO RESCINDIDO – OBRA LICITADA NOVAMENTE</t>
  </si>
  <si>
    <t>4.490.51.00</t>
  </si>
  <si>
    <t>Concluída,
aguardando ateste de funcionalidade pela Caixa</t>
  </si>
  <si>
    <t>Paralisada(*), 
devido existência de reprogramação em análise pela Caixa</t>
  </si>
  <si>
    <t>Paralisada(*), 
aguardando liberação de recursos pelo Estado</t>
  </si>
  <si>
    <t xml:space="preserve">CONCLUÍDO </t>
  </si>
  <si>
    <t>249.690,46</t>
  </si>
  <si>
    <t xml:space="preserve"> 5.030,494,76 </t>
  </si>
  <si>
    <t>Convite Nº 002/2015 P.L. nº 017/15</t>
  </si>
  <si>
    <t>P.L. nº 037/2017 TP.: nº 003/2017</t>
  </si>
  <si>
    <t>Contratação da Empresa de engenharia para executar os serviços (Recurso Caixa Econômica Federal) de revitalização das Praças Nelson Oliveira, Padre Carlos Cottart e Sistema Viário na Zona Urbana do Município de Afogados da Ingazeira-PE.</t>
  </si>
  <si>
    <t>P.L. nº 038/2017 TP.: nº 004/2017</t>
  </si>
  <si>
    <t>Contratação da Empresa de engenharia para executar os serviços (Recurso Caixa Econômica Federal) de revitalização da Avenida Rio Branco na Zona Urbana do Município de Afogados da Ingazeira-PE.</t>
  </si>
  <si>
    <t>TOMADA DE PREÇOS 002/2014</t>
  </si>
  <si>
    <t>CC 002/2017</t>
  </si>
  <si>
    <t>CONTRATAÇÃO DE EMPRESA DE ENGENHARIA PARA REFORMA COM AMPLIAÇÃO DA ESCOLA MUNICIPAL DOMINGOS TEOTÔNIO – AFOGADOS DA INGAZEIRA - PE.</t>
  </si>
  <si>
    <t>Construção de esgotamento sanitário 1ª ETAPA</t>
  </si>
  <si>
    <t>PR-032/2016</t>
  </si>
  <si>
    <t>Contratação de Empresa de Engenharia para Terraplanagem tipo TSD (Tratamento Superficial Duplo) com capa selante em Diversas Ruas da Cidade</t>
  </si>
  <si>
    <t>PR-062/2011</t>
  </si>
  <si>
    <t>Empresa de Engenharia para Pavimentação em paralelepipedo granitico das Ruas; São Francisco, Paraiba, Rio Grande do Norte, Santa Luzia, Santo Antonio, da Vaquejada, Joana Dar'c, das Palmeiras, São Vicente de Paula, São Benedito e dos Prazeres, bem como suas respectivas Travessas.</t>
  </si>
  <si>
    <t>PR-028/2016</t>
  </si>
  <si>
    <t>Contratação de Empresa de Engenharia para Pavimentação em paralelepipedo granitico da Avenida Manoel Mauricio no Distrito de Curral Novo</t>
  </si>
  <si>
    <t>Elaboração de Projeto básico e executivo de Pavimentação das Ruas: Bom Conselho, da Vaquejada e suas Travessas.</t>
  </si>
  <si>
    <t>Fornecimento de máo de obra com serviços de caiação de meio-fio de vias públicas neste Municipio.</t>
  </si>
  <si>
    <t>Serviços de caiação de meio-fio de vias públicas neste Municipio.</t>
  </si>
  <si>
    <t>Fornecimento de mão de obra para Pintura do Mercado Público Municipal</t>
  </si>
  <si>
    <t>Serviços de sondagem de subleito em entrada de vias a serem pavimentadas no Distrito de Tanquinhos na Zona Rural deste Munipio.</t>
  </si>
  <si>
    <t>PR-030/2016</t>
  </si>
  <si>
    <t>Construção de Praças no Municipio de Águas Belas - Praça Lourival Freire Ferro.</t>
  </si>
  <si>
    <t>PR-022/2015</t>
  </si>
  <si>
    <t>Contratação de Engenharia para Construção de Uma Escola com 06 Salas de Aula e Uma Quadra coberta com vestiário no Distrito de Campo Grande.</t>
  </si>
  <si>
    <t>Serviços de Retelhamento para as Escolas da Rede Municipal de Ensino: Escola Municipal - Ivaldo Cordeiro- Sítio Beldroega - Escola Municipal Sagrado Coração de Jesus - Sítio Arranhento - Escola Municipal João Litda Feitosa - Sitio Poço Novo- Escola Municipal São Bento - Sítio Lagoa Seca</t>
  </si>
  <si>
    <t>TP 010/2014</t>
  </si>
  <si>
    <t>CONSTRUÇÃO DA ACADEMIA DA SAÚDE NO DISTRITO DE TUPAÓCA</t>
  </si>
  <si>
    <t>CONSTRUÇÃO DE 100 MELHORIAS SANITÁRIAS DOMICILIARES NA ZONA RURAL DESTE MUNICÍPIO, SENDO: 07 NO ENG. VAZANTE, 17 NO ENGENHO TERRA NOVA, 26 NO ENG. TUPÃ, 09 NO SÍTIO POÇO,26 NO SÍTIO PANORAMA E 15 NOS SÍTIOS:CHÃ GRANDE,GROS E JUCA.</t>
  </si>
  <si>
    <t>IMPLANTAÇÃO DO SISTEMA DE ABASTECIMENTO D’ÁGUA DE TUPAOCA, CHÃ DE CATOLÉ, CAUEIRAS, DO ALTO ZELORITH E USINA ALIANÇA, NA ZONA RURAL DESTE MUNICÍPIO</t>
  </si>
  <si>
    <t>CONSTRUÇÃO DE UMA USF – UNIDADE DE SAÚDE DA FAMÍLIA, NO BAIRRO DO ROSÁRIO</t>
  </si>
  <si>
    <t>COBERTURA DE QUADRA NA ESCOLA MARIA DAS MERCÊS RABELO – NO POVOADO DA CHÃ DO CATOLÉ – DISTRITO DE TUPAOCA – ALIANÇA-PE.</t>
  </si>
  <si>
    <t>RECONSTRUÇÃO DA PAVIMENTAÇÃO ASFÁLTICA DO ACESSO ALIANÇA/CAUEIRAS – ALIANÇA-PE.</t>
  </si>
  <si>
    <t>EXECUÇÃO DAS OBRAS DO CONVÊNIO CELEBRADO ENTRE A PREFEITURA MUNICIPAL DE ALIANÇA E O FUNDO ESTADUAL DE APOIO AO DESENVOLVIMENTO MUNICIPAL – FEM II ANO 2014</t>
  </si>
  <si>
    <t>CV 03/2017</t>
  </si>
  <si>
    <t>PAVIMENTAÇÃO DE PARALELEPÍPEDOS EM DIVERSAS RUAS DO MUNICÍPIO</t>
  </si>
  <si>
    <t>SERVIÇO PRESTADO NA MANUTENÇÃO E CONSERTO DA PASSAGEM MOLHADA DO SÍTIO CARÃO.</t>
  </si>
  <si>
    <t>CONSERTO DE ESTRADAS DOS SÍTIOS</t>
  </si>
  <si>
    <t>Contratação de empresa de engenharia para pavimentação em paralelepípedos graníticos de diversas ruas desta cidade de Angelim.</t>
  </si>
  <si>
    <t>TOMADA DE PREÇO 02/2016</t>
  </si>
  <si>
    <t>REFORMA E AMPLIAÇÃO DA UNIDADE BASICA DE SAÚDE DE GERGELIM. SEGUNDO TERMO DE REINICIO DE OBRAS.</t>
  </si>
  <si>
    <t xml:space="preserve">CONSTRUCAO DE UMA QUADRA POLIESPORTIVA COBERTA COM VESTUARIO PADRAO FNDE - ESCOLA EDUARDO SOUZA CARVALHO - SEDE </t>
  </si>
  <si>
    <t>CONVITE Nº003/2017PROCESSO 005/2017 PREFEITURA MUNICIPAL</t>
  </si>
  <si>
    <t>REFORMA DE ESCOLAS MUNICIPAIS</t>
  </si>
  <si>
    <t>PREGÃO ELETRÔNICO 004/2017</t>
  </si>
  <si>
    <t>AQUISIÇÃO DE MATERIAIS PARA A MANUTENÇÃO DE ESCOLAS MUNICIPAIS (06)</t>
  </si>
  <si>
    <t>AQUISIÇÃO DE TUBOS DE CONCRETO PARA SEREM UTILIZADOS NA RECOMPOSIÇÃO DA PASSAGEM MOLHADA DO ENGENHO BOM JARDIM (07)</t>
  </si>
  <si>
    <t>PINTURA DO PSF SANTA LUZIA</t>
  </si>
  <si>
    <t>PINTURA DO PRÉDIO DA FISIOTERAPIA</t>
  </si>
  <si>
    <t>SERVIÇOS DE DIVISÓRIA EM GESSO NO CENTRO ADMINISTRATIVO</t>
  </si>
  <si>
    <t>FORNECIMENTO DE PLACAS DE GESSO CALCINADO NO CENTRO ADMINISTRATIVO</t>
  </si>
  <si>
    <t>MANUTENÇÃO DE BASCULANTES E SOLDAS NAS ESQUADRIAS DE FERRO NO CENTRO ADMINISTRATIVO</t>
  </si>
  <si>
    <t>PISO CAMURÇADO NO PRÉDIO DO CENTRO ADMINISTRATIVO</t>
  </si>
  <si>
    <t>INSTALAÇÕES ELÉTRICAS NO PRÉDIO DO CENTRO ADMINISTRATIVO</t>
  </si>
  <si>
    <t>SERVIÇO DE REPOSIÇÃO DE CALÇAMENTO NO RESIDENCIAL EDUARDO CAMPOS - DISTRITO BATATEIRA</t>
  </si>
  <si>
    <t>SERVIÇO DE REPOSIÇÃO DE CALÇAMENTO NAS RUAS BOA VISTA, SANTA LUZIA, VICENTE CARÍCIO E TRAVESSA MARECHAL RONDON - BELÉM DE MARIA</t>
  </si>
  <si>
    <t>SERVIÇOS DE RECUPERAÇÃO E SOLDAGENS DE PORTÕES DOS PRÉDIOS MUNICIPAIS.</t>
  </si>
  <si>
    <t>SERVIÇO DE REPOSIÇÃO DE CALÇAMENTO NA RUA BOA VISTA</t>
  </si>
  <si>
    <t>SERVIÇO DE MANUTENÇÃO DE JANELAS DE VIDRO NOS PRÉDIOS MUNICIPAIS</t>
  </si>
  <si>
    <t>SERVIÇO COM SERRALHARIA E SOOLDAS PARA SUPRIR AS NECESSIDADES DA SECRETARIA DE INFRAESTRUTURA</t>
  </si>
  <si>
    <t>REPOSIÇÃO DE CALÇAMENTO NA ÁREA DO CENTRO ADMINISTRATIVO E NA RUA BOA VISTA</t>
  </si>
  <si>
    <t>SERVIO DE APLICAÇÃO DE GESSO E DIVISÓRIAS NO ENA, PREDIO SEDE DA PREFEITURA MUNICIPAL</t>
  </si>
  <si>
    <t>SERVIÇO DE SOLDAGEM NAS JANELAS E PORTÕES NOS PSF´S E NO HOSPITAL, DA SECRETARIA DE SAÚDE, DESTE MUNICÍPIO.</t>
  </si>
  <si>
    <t>FORMULAÇÃO DE PROJETOS PARA ANGARIAR RECURSOS PARA CONSTRUÇÃO DE ESCOLAS DA REDE MUNICIPAL</t>
  </si>
  <si>
    <t>CONTRATAÇÃO DE EMPRESA ESPECIALIZADA PARA EXECUÇAO DE SERVIÇO DE ENGENHARIA PARA CONSTRUÇÃO DE 01 ESCOLA DE 04 SALAS NO SÍTIO RIACHO FUNDO E 01 ESCOLA 06 SALAS NO SÍTIO SÃO CAETANO</t>
  </si>
  <si>
    <t>processo nº 051/2012 TP 005/2012</t>
  </si>
  <si>
    <t>TP Nº 011/2012</t>
  </si>
  <si>
    <t>COMPLEXO AGROINDUSTRIAL DO LEITE DE BODOCÓ – PE</t>
  </si>
  <si>
    <t>QUADRA COBERTA COM VESTIÁRIO NA VILA BOM JARDIM</t>
  </si>
  <si>
    <t>CONSTRUÇÃO DE ESCOLAS COM 02 (DUAS) SALAS NOS SÍTIOS VARZINHA, SUTURNO E MULUNGU</t>
  </si>
  <si>
    <t>PAVIMENTAÇÃO EM DIVERSAS RUAS NOS BAIRROS DA COHAB, SÃO FRANCISCO, NOVO BODOCÓ, RAUL ALVES E CLARANÃ</t>
  </si>
  <si>
    <t>CC Nº 001/2017</t>
  </si>
  <si>
    <t>COMPLEMENTAÇÃO/ CONSTRUÇÃO DO SISTEMA DE ESGOTAMENTO SANITÁRIO NO MUNICÍPIO DE BODOCÓ – PE</t>
  </si>
  <si>
    <t>CC 003/2017</t>
  </si>
  <si>
    <t xml:space="preserve">VALOR SUBEMPENHADO PARA PAGAMENTO PELA EXECUÇÃO DAS OBRAS E SERVIÇOS DE ENGENHARIA RELACIONADOS À REVITALIZAÇÃO DO ANTIGO MERCADO PÚBLICO MUNICIPAL, LOCALIZADO NA AV. DR. ALBERTO DE OLIVEIRA, CENTRO, NESTA CIDADE, COM RECURSOS ORIUNDOS DO CONTRATO DE REPASSE Nº 336.578.81/2010 MINISTÉRIO DO TURISMO/CEF- CAIXA ECONÔMICA FEDERAL, CONFORME TOMADA DE PREÇOS Nº003/2012, CONTRATO Nº 090/2012 E BM Nº 04. </t>
  </si>
  <si>
    <t>CONC 001/2015</t>
  </si>
  <si>
    <t>CONSTRUÇÃO E CONCLUSÃO DE 04 UBS´S TIPO I, DIVIDIDAS POR LOTES, N/MUNICÍPIO.</t>
  </si>
  <si>
    <t>CONSTRUÇÃO, REFORMA E MODERNIZAÇÃO DO ESTÁDIO MUNICIPAL, N/CIDADE.</t>
  </si>
  <si>
    <t>CONSTRUÇÃO DE 01 (UMA) ESCOLA COM 6 SALAS DE AULA</t>
  </si>
  <si>
    <t>CONSTRUÇÃO DE 1 (UMA) CRECHE TIPO II</t>
  </si>
  <si>
    <t>Concorrência Nº 002/2015 – processo licitatório nº 012/2015</t>
  </si>
  <si>
    <t>Concorrência Nº 007/2015 – processo licitatório nº 065/2015</t>
  </si>
  <si>
    <t>Serviços de Recapeamento em diversas ruas do município de Camaragibe-PE</t>
  </si>
  <si>
    <t>TP Nº 003/2015 – processo licitatório nº 017/2015</t>
  </si>
  <si>
    <t>CONTRATAÇÃO DE EMPRESA DE ENGENHARIA PARA A EXECUÇÃO DAS OBRAS DE RECAPEAMENTO ASFÁLTICO EM DIVERSAS RUAS DO MUNICÍPIO DE CAMARAGIBE</t>
  </si>
  <si>
    <t>Concorrência nº 004/2013 – processo licitatório nº 058/2013</t>
  </si>
  <si>
    <t>Processo Licitatório Nº 059/2017; Tipo: CONVITE Nº 013/2017"Menor Preço" GLOBAL ofertado</t>
  </si>
  <si>
    <t>Contratação de empresa sob forma de empreitada para realização de obras/serviços de engenharia, destinado a reforma do centro de referência de assistência social - Cras, no bairro de Vera Cruz deste Município e a empresa C &amp; M Construtora de Serviços LTDA</t>
  </si>
  <si>
    <t>PROCESSO Nº 068 TOMADA DE PREÇO Nº004/2013</t>
  </si>
  <si>
    <t>CONTRATAÇÃO DE EMPRESA DE ENGENHARIA PARA EXECUÇÃO DE OBRA DE CONSTRUÇÃO DE UMA ESCOLA LOCALIZADA NO SÍTIO MONDÉ</t>
  </si>
  <si>
    <t>PROCESSO Nº 071 TOMADA DE PREÇO Nº006/2013</t>
  </si>
  <si>
    <t>CONSTRUÇÃO DE UMA QUADRA COM VESTIÁRIO NO SÍTIO SERRA DE AIRES</t>
  </si>
  <si>
    <t>PROCESSO Nº 003 TOMADA DE PREÇO Nº001/2014</t>
  </si>
  <si>
    <t>CONTRATAÇÃO DE EMPRESA DE ENGENHARIA PARA EXECUÇÃO DE OBRA DE CONSTRUÇÃO DE UMA ESCOLA LOCALIZADA NO SÍTIO PACAS</t>
  </si>
  <si>
    <t>PROCESSO Nº 011 TOMADA DE PREÇO Nº002/2014</t>
  </si>
  <si>
    <t>CONTRATAÇÃO DE EMPRESA DE ENGENHARIA PARA EXECUÇÃO DE OBRA DE CONSTRUÇÃO DE UMA ESCOLA LOCALIZADA NO SÍTIO SANTA LUZIA</t>
  </si>
  <si>
    <t>PROCESSO Nº021 CONCORRÊNCIA Nº2/2015</t>
  </si>
  <si>
    <t>CONTRATAÇÃO DE EMPRESA DE ENGENHARIA PARA EXECUÇÃO DE PAVIMENTAÇÃO EM PARALELEPÍPEDO GRANÍTICO EM DIVERSAS RUAS, NESTE MUNICÍPIO - LOTE 5</t>
  </si>
  <si>
    <t>CONTRATAÇÃO DE EMPRESA DE ENGENHARIA PARA EXECUÇÃO DE PAVIMENTAÇÃO EM PARALELEPÍPEDO GRANÍTICO EM DIVERSAS RUAS, NESTE MUNICÍPIO - LOTE 2</t>
  </si>
  <si>
    <t>CONTRATAÇÃO DE EMPRESA DE ENGENHARIA PARA EXECUÇÃO DE PAVIMENTAÇÃO EM PARALELEPÍPEDO GRANÍTICO EM DIVERSAS RUAS, NESTE MUNICÍPIO - LOTE 1</t>
  </si>
  <si>
    <t>CONTRATAÇÃO DE EMPRESA DE ENGENHARIA PARA EXECUÇÃO DE PAVIMENTAÇÃO EM PARALELEPÍPEDO GRANÍTICO EM DIVERSAS RUAS, NESTE MUNICÍPIO - LOTE 3</t>
  </si>
  <si>
    <t>CONTRATAÇÃO DE EMPRESA DE ENGENHARIA PARA EXECUÇÃO DE PAVIMENTAÇÃO EM PARALELEPÍPEDO GRANÍTICO EM DIVERSAS RUAS, NESTE MUNICÍPIO - LOTE 4</t>
  </si>
  <si>
    <t>PROCESSO Nº 022 TOMADA DE PREÇO Nº004/2015</t>
  </si>
  <si>
    <t>CONTRATAÇÃO DA EXECUÇÃO DAS OBRAS DE CONSTRUÇÃO DAS PRAÇAS: DA CULTURA, DO BAIRRO NOVO, JOSÉ ABÍLIO E SANTA LUZIA</t>
  </si>
  <si>
    <t>PROCESSO Nº 014 TOMADA DE PREÇO Nº001/2016</t>
  </si>
  <si>
    <t>CONTRATAÇÃO DE EMPRESA DE ENGENHARIA PARA EXECUÇÃO DE PAVIMENTAÇÃO EM PARALELEPÍPEDO GRANÍTICO EM DIVERSAS RUAS NA SEDE E DISTRITOS DO MUNICÍPIO DE CAMOCIM DE SÃO FÉLIX</t>
  </si>
  <si>
    <t>CONTRATAÇÃO DE EMPRESA DE ENGENHARIA PARA EXECUÇÃO DE PAVIMENTAÇÃO EM PARALELEPÍPEDO GRANÍTICO EM DIVERSAS RUAS</t>
  </si>
  <si>
    <t>PROCESSO Nº 001 CONCORRÊNCIA Nº0012/2016</t>
  </si>
  <si>
    <t>PAVIMENTAÇÃO SOBRE PAVIMENTO ASFALTICO SOBRE O PAVIMENTO EM PARALELEPÍPEDO GRANITICO EXINSTENTE EM DIVERSAS RUAS, DE ACORDO COM O CONTRA TO DE REPASSE: LOTE 1 PT 1016.216-23</t>
  </si>
  <si>
    <t>TP 03/14</t>
  </si>
  <si>
    <t>REFORMA DE PRÉDIO PARA FUNCIONAMENTO DO CEO</t>
  </si>
  <si>
    <t>COMPLEMENTAÇÃO DA CONTRUÇÃO DE 3 ACADEMIAS DA SAÚDE</t>
  </si>
  <si>
    <t>Contratação de prestação de serviços de engenharia para construção de um (01) campo de futebol na sade do município de Capoeiras.</t>
  </si>
  <si>
    <t>CONSTRUÇÃO DE CRECHE TIPO 1</t>
  </si>
  <si>
    <t>MANUTENÇÃO DO AUDITÓRIO E HALL DE ENTRADA DA SEDE DA PREFEITURA, MUNICÍPIO DE CARPINA-PE, BAIRRO SÃO JOSÉ.</t>
  </si>
  <si>
    <t>RECUPERAÇÃO DO SISTEMA DE DRENAGEM NA RUA FREI CANECA, MUNICÍPIO DE CARPINA-PE.</t>
  </si>
  <si>
    <t>RECUPERAÇÃO DO SISTEMA DE DRENAGEM NA RUA DA ROÇA, NO MUNICÍPIO DE CARPINA, NO BAIRRO SANTO ANTÔNIO.</t>
  </si>
  <si>
    <t>MANUTENÇÃO PREVENTIVA E CORRETIVA DA ESCOLA MUNICIPAL SOFIA ADELINO, MUNICÍPIO DE CARPINA-PE.</t>
  </si>
  <si>
    <t>RECUPERAÇÃO DO PAVIMENTO DA RUA JOSÉ JAIME COUTINHO DIAS, NO BAIRRO NOVO, MUNICÍPIO DE CARPINA-PE.</t>
  </si>
  <si>
    <t>SERVIÇO DE PINTURA DOS CANTEIROS CENTRAIS DO CENTRO DE CARPINA-PE.</t>
  </si>
  <si>
    <t>MANUTENÇÃO PREVENTIVA E CORRETIVA DO CEO.</t>
  </si>
  <si>
    <t>MANUTENÇÃO PREVENTIVA E CORRETIVA DOS BANHEIROS DO TÉRREO DO MERCADO PÚBLICO MUNICIPAL, MUNICÍPIO DE CARPINA-PE.</t>
  </si>
  <si>
    <t>MANUTENÇÃO PREVENTIVA E CORRETIVA DO POSTO DE SAÚDE CHÃ DO MEIO, MUNICÍPIO DE CARPINA-PE.</t>
  </si>
  <si>
    <t>LOTE II DO PROJETO REVITALINO, OBRAS ESTAS A SEREM DESENVOLVIDAS NA AV. MESTRE VITALINO, ALTO DO MOURA - CONSTRUÇÃO DO ESTACIONAMENTO DE VISITANTES DO ALTO DO MOURA</t>
  </si>
  <si>
    <t xml:space="preserve">LOTE I DO PROJETO REVITALINO, OBRAS ESTAS A SEREM DESENVOLVIDAS NA AV. MESTRE VITALINO, ALTO DO MOURA - OBRAS DE INFRAESTRUTURA TURÍSTICA DO ALTO DO MOURA, COMPREENDENDO: REVIT. DAS CALÇADAS (TRECHOS 2, 3, 4 e 5), PRAÇA DO RECEPTIVO E GRADIL DO ESTACIONAMENTO, RECEPTIVO TURÍSTICO E CASA DA MULHER ARTESÃ </t>
  </si>
  <si>
    <t>CP 005/2016</t>
  </si>
  <si>
    <t>CP 004/2017</t>
  </si>
  <si>
    <t>PAVIMENTAÇÃO ASFÁLTICA DA VIA DE ACESSO À LOCALIDADE DE JUÁ, PARTINDO DO ENTRONCAMENTO DA BR-104, NO MUNICÍPIO DE CARUARU</t>
  </si>
  <si>
    <t>TOMADA DE PREÇO N° 001/2016</t>
  </si>
  <si>
    <t>CONSTRUÇÃO DE UMA CRECHE PROINFÂNCIA TIPO 2</t>
  </si>
  <si>
    <t>CONSTRUÇÃO DE QUADRA COBERTA COM VESTIÁRIO (25,80 X 38m)</t>
  </si>
  <si>
    <t>TOMADA DE PREÇO N° 004/2014</t>
  </si>
  <si>
    <t>CONSTRUÇÃO DE UMA UBS CHÃ DE ALDEIA</t>
  </si>
  <si>
    <t>CARTA CONVITE: 006/2014</t>
  </si>
  <si>
    <t xml:space="preserve">CONSTRUÇÃO DE ESCOLA DO PROGRAMA PROINFÂNCIA, OBEDECENDO ÀS TIPOLOGIAS DOS PROJETOS PADRÃO DO FNDE-ESCOLA PROINFÂNCIA B - CONFORME O CONTRATO EM ANEXO Nº 100/2013 FNDE-PREGÃO 93/NORDESTE-GRUPO 1 - ESTADOS AL, SE E PE (2º BOLETIM DE MEDIÇÃO) </t>
  </si>
  <si>
    <t xml:space="preserve">CONTRATAÇÃO DE PESSOA JURÍDICA PARA EXECUTAR SERVIÇOS DE CONSTRUÇÃO DE QUADRAS POLIESPORTIVAS COBERTAS COM VESTIÁRIOS NA ESCOLA AMÁLIA ARAÚJO JUREMA, CONFORME TERMO DE COMPROMISSO PAC 2 Nº 09758/2014, NO ÂMBITO DESTE MUNICÍPIO, CONFORME PROCESSO LICITATÓRIO DE Nº 037/2014. TP 003/2014. </t>
  </si>
  <si>
    <t xml:space="preserve">CONTRATAÇÃO DE PESSOA JURÍDICA PARA EXECUTAR SERVIÇOS DE CONSTRUÇÃO DE QUADRAS POLIESPORTIVAS COBERTAS COM VESTIÁRIOS NA ESCOLA LAERTE PEDROZA DE MELO, CONFORME TERMO DE COMPROMISSO PAC 2 Nº 09758/2014, NO ÂMBITO DESTE MUNICÍPIO, CONFORME PROCESSO LICITATÓRIO DE Nº 037/2014. TP 003/2014. </t>
  </si>
  <si>
    <t>PL 033/2016</t>
  </si>
  <si>
    <t>CONTRATAÇÃO DE PESSOA JURÍDICA PARA EXECUTAR SERVIÇO DE CONSTRUÇÃO DE MURO DE CONTENÇÃO NA RUA JOAQUIM JOSÉ DE MIRANDA, PRINCIPAL VIA DE ACESSO AO MUNICÍPIO DE CHÃ GRANDE, CONFORME PROCESSO LICITATÓRIO Nº 022/2014-TOMADA DE PREÇO Nº 002/2014.</t>
  </si>
  <si>
    <t>EXECUSÃO DE SERVIÇOS DE REGULARIZAÇÃO DE PAVIMENTAÇÃO PARA COBERTURA COM REVESTIMENTO ASFÁUTICO EM DIVERSAS RUAS E AVENIDAS DO CENTRO DA CIDADE, E REPOSIÇÃO DE CALÇAMENTO (TAPA-BURACO) EM DIVERSAS RUAS DA CIDADE, DISTRITO DA VILA SANTA LUZIA E POVOADO DE MALHADINHA. CONFORME PROCESSO LICITATÓRIO Nº 021/2016, TOMADA DE PREÇO Nº 002/2016.</t>
  </si>
  <si>
    <t>AQUISIÇÃO DE SERVIÇOS PRESTADOS EM REFORMA NA ESCOLA ANTÔNIO MANOEL DE JESUS, LOCALIZADA NO SÍTIO  ALTO DO RIO, NESTE MUNICÍPIO, CONFORME DISPENSA.</t>
  </si>
  <si>
    <t xml:space="preserve"> REFERENTE AQUISIÇÃO DE SERVIÇOS PRESTADOS EM REFORMA NA ESCOLA ANTONIO MANOEL DE JESUS, LOCALIZADA MO SITIO ALTO DO RIO, NESTE MUNICIPIO, CONFORME DISPENSA.</t>
  </si>
  <si>
    <t xml:space="preserve">Conclusão de um Creche do Programa Pró-infância Tipo ''B'' Residêncial Esperança </t>
  </si>
  <si>
    <t>RECAPEAMENTO ASFÁLTICO DAS AV. SILVINO RABELO E RUA MANOEL LIRA</t>
  </si>
  <si>
    <t>Contratação de Empresa para execução das obras de construção do Sistemas de Abastecimento de Água para as localidades de Poço Comprido- Olho D'Água do Góes (etapa 01)
, Pedra Branca - Palmerinha do Cardoso e Adjacências (etapa 2), neste Município das Correntes/PE, conforme termo de Compromisso/PAC</t>
  </si>
  <si>
    <t>Concorrência 01/2012</t>
  </si>
  <si>
    <t>Contratação pelo Município das Correntes/PE  da execução na forma de execução indireta, pelo regime de empreitada por preço global, das obras e serviços de EXECUÇÃO DO SISTEMA DE ESGOTAMENTAMENTO SANITÁRIO NO MUNICÍPIO
DAS CORRENTES/PE, objeto do Convênio TC PAC2 – PE1507110676, inclusive com o fornecimento dos materiais e equipamentos.</t>
  </si>
  <si>
    <t>Contratação    de    empresa    de engenharia  para  executar  obras de   construção   de   01   (uma) creche projeto Pro-infancia tipo 2 projeto   padrão   no   distrito   de Poço Comprido.</t>
  </si>
  <si>
    <t>CONC 01/2012 PL 018/2012</t>
  </si>
  <si>
    <t>TP 003/2012 PL 020/2012</t>
  </si>
  <si>
    <t>TP 001/2014 PL 002/2014</t>
  </si>
  <si>
    <t>TP 002/2014 PL 003/2014</t>
  </si>
  <si>
    <t>CONVITE Nº 004/2017</t>
  </si>
  <si>
    <t xml:space="preserve">CONTRATAÇÃO DE EMPRESA DO RAMO DE ENGENHARIA COM O OBJETO DE PRESTAR SERVIÇOS DE REFORMAR NO PAVIMENTO SUPERIOR DO PRÉDIO DA CÂMARA MUNICIPAL. </t>
  </si>
  <si>
    <t xml:space="preserve">TP Nº 007/2012 Proc. Licit. Nº 041/2012 </t>
  </si>
  <si>
    <t xml:space="preserve">Contratação de empresa de engenharia para pavimentação do sistema viário do município das ruas:Projetada 01,02 e 03 no Bairro Miguel Arraes de Alencar. </t>
  </si>
  <si>
    <t>TP Nº 008/2012 Proc. Licit. Nº 042/2012</t>
  </si>
  <si>
    <t xml:space="preserve">Contratação de empresa de engenharia para construção de uma uma quadra poliesportiva descoberta na Escola Mul. Creuza Arcoverde de F. Cavalcanti - Redeção </t>
  </si>
  <si>
    <t>QUADRA COBERTA FNDE LAGOA DE FORA</t>
  </si>
  <si>
    <t>QUADRA COBERTA FNDE CAATINGA GRANDE</t>
  </si>
  <si>
    <t>UBS LAGOAS</t>
  </si>
  <si>
    <t>UBS FRANCISCO COELHO DE MACEDO</t>
  </si>
  <si>
    <t>TP FMS 001/2017</t>
  </si>
  <si>
    <t>UBS FRANCISCA IRENE</t>
  </si>
  <si>
    <t>Processo nº 005/2017 Convite nº 003/2017</t>
  </si>
  <si>
    <t>Contratação de empresa de engenharia civil para executar a reforma do prédio da Câmara Municipal de Escada</t>
  </si>
  <si>
    <t>CV Nº 004/2017</t>
  </si>
  <si>
    <t>CONTRATAÇÃO DE EMPRESA DE ENGENHARIA PARA EXECUÇÃO DOS SERVIÇOS DE REPOSIÇÃO DE PAVIMENTO EM PARALELEPÍPEDO GRANÍTICO EM DIVERSAS LOCALIDADES DO MUNICÍPIO DE EXU-PE</t>
  </si>
  <si>
    <t>TP Nº 006/2017</t>
  </si>
  <si>
    <t>CONTRATAÇÃO DE EMPRESA DE ENGENHARIA PARA EXECUÇÃO DOS SERVIÇOS DE CONSTRUÇÃO DE CHAFARIZES EM DIVERSAS COMUNIDADES DA ZONA RURAL DO MUNICÍPIO DE EXU-PE</t>
  </si>
  <si>
    <t>TP Nº 008/2017</t>
  </si>
  <si>
    <t>CONTRATAÇÃO DE EMPRESA ESPECIALIZADA PARA DESASSORIAMENTO DE AÇUDES, BARREIROS, TERRAPLANAGEM, EXTRAÇÃO DE MATERIAL DE JAZIDAS E RECUPERAÇÃO DE ESTRADAS EM DIVERSAS LOCALIDADES DO MUNICÍPIO DE EXU-PE.</t>
  </si>
  <si>
    <t>TOMADA DE PREÇO
001/2015</t>
  </si>
  <si>
    <t>CONSTRUÇÃO DA COBERTA DE 1(UMA) QUADRA ESCOLAR PEQUENA- SITIO SANTO AGOSTINHO</t>
  </si>
  <si>
    <t>PROCESSO 035/2014</t>
  </si>
  <si>
    <t xml:space="preserve">COBERTURA DA QUADRA DO POVOADO DE SACO DO ROMÃO </t>
  </si>
  <si>
    <t>PROCESSO 062/2015</t>
  </si>
  <si>
    <t>CONSTRUÇÃO DA PRAÇA OTONIO ANDRADA</t>
  </si>
  <si>
    <t>PROCESSO 036/2014</t>
  </si>
  <si>
    <t>CONSTRUÇÃO DA QUADRA DO FNDE NO DISTRITO DE SÍTIO DOS NUNES</t>
  </si>
  <si>
    <t>PROCESSO 055/2017</t>
  </si>
  <si>
    <t xml:space="preserve">CONSTRUÇÃO DE REDE DE ESGOTOS PÚBLICOS </t>
  </si>
  <si>
    <t>Concorrência nº 002/2012</t>
  </si>
  <si>
    <t>CRECHE TIPO B – TRÊS MARIAS</t>
  </si>
  <si>
    <t>Concorrência nº 002/2016</t>
  </si>
  <si>
    <t>AP-130: PAVIMENTAÇÃO GRANÍTICA DA RUA EMIDIO QUIRINO E CONT. DA AV. CAP. ANTONIO DAVI. AP-131: PAVIMENTAÇÃO GRANÍTICA DA RUA 04 – COHAB, RUA ANACY TEOTÔNIO E TRAV. MANOEL DOMINGOS NOVAES.</t>
  </si>
  <si>
    <t>Tomada de Preço nº 007/2016.</t>
  </si>
  <si>
    <t>CONSTRUÇÃO DOS MUROS, FOSSA E SUMIDOURO DA CRECHE PROINFÂNCIA TIPO B E DA ESCOLA MUNICIPAL DE NAZARÉ DO PICO.</t>
  </si>
  <si>
    <t>PAVIMENTAÇÃO DA RUA VEREADOR JOSÉ FLÔR FILHO - CENTRO</t>
  </si>
  <si>
    <t>Tomada de Preço nº 02/2016.</t>
  </si>
  <si>
    <t>CONSTRUÇÃO DE 46 MELHORIAS SANITÁRIAS - FUNASA</t>
  </si>
  <si>
    <t>Tomada de Preço nº 04/2016.</t>
  </si>
  <si>
    <t>CONSTRUÇÃO DE 8 MELHORIAS HABITACIONAIS - FUNASA</t>
  </si>
  <si>
    <t>Tomada de Preços nº 005/2017 - Lote II</t>
  </si>
  <si>
    <t>CONSTRUÇÃO DE QUADRA POLIESPORTIVA NO DISTRITO DE NAZARÉ DO PICO</t>
  </si>
  <si>
    <t>TOMADA DE PREÇO nº 005/2017 - Lote I</t>
  </si>
  <si>
    <t>CONSTRUÇÃO DE QUADRA NO BAIRRO DA ERMIDA</t>
  </si>
  <si>
    <t>URBANIZAÇÃO DAS AVENIDAS CAP. ANTÔNIO DAVI E ANTÔNIO DE SOUZA JOTA, NO MUNICIPIO DE FLORESTA.</t>
  </si>
  <si>
    <t>TOMADA DE PREÇO Nº 004/2017</t>
  </si>
  <si>
    <t>IMPLANTAÇÃO DO ESTACIONAMENTO PÚBLICO MUNICIPAL</t>
  </si>
  <si>
    <t>T. P. N°004/2014 PROC. LIC. N°029/2014</t>
  </si>
  <si>
    <t>CONTRATAÇÃO DE EMPRESA DE ENGENHARIA PARA CONSTRUÇÃO DE DUAS QUADRAS COBERTA - LOTE 1 LOCALIZADA NO SÍTIO FURNAS</t>
  </si>
  <si>
    <t>CONTRATAÇÃO DE EMPRESA DE ENGENHARIA PARA CONSTRUÇÃO DE DUAS QUADRAS COBERTA - LOTE 2 LOCALIZADA NO SÍTIO LAGOA NOVA</t>
  </si>
  <si>
    <t xml:space="preserve">Recapeamento Asfáltico em CBUQ de Diversas Ruas de Caraibeiras e Tacaratu/PE </t>
  </si>
  <si>
    <t>Manutenção dos Prédios Escolares do Município de Tacaratu/PE.</t>
  </si>
  <si>
    <t>TOMADA DE PREÇOS 003/2017 PROCESSO 033/2017</t>
  </si>
  <si>
    <t>DRENAGEM DA AVENIDA PRINCIPAL DO LOTEAMENTO ELIEZER BARBOSA DE ARAÚJO E DA AVENIDA SANDOVAL PEREIRA, ARARUNA</t>
  </si>
  <si>
    <t>TOMADA DE PREÇOS 004/2017 PROCESSO 034/2017</t>
  </si>
  <si>
    <t>PAVIMENTAÇÃO DA AVENIDA PRINCIPAL E RUA SANDOVAL PEREIRA</t>
  </si>
  <si>
    <t>CONCORRÊNCIA 002/2017 PROCESSO 035/2017</t>
  </si>
  <si>
    <t>PAVIMENTAÇÃO E DRENAGEM DE 20 RUAS</t>
  </si>
  <si>
    <t>TOMADA DE PREÇOS 002/2017 PROCESSO 021/2017</t>
  </si>
  <si>
    <t>REQUALIFICAÇÃO DO PSF - POSTO DE SAÚDE DE CRUANGI, NO MUNICÍPIO DE TIMBAÚBA-PE.</t>
  </si>
  <si>
    <t>DIRETA</t>
  </si>
  <si>
    <t>REFORMA E MANUTENÇÃO DO CANTEIRO DE OBRAS DA SECRETARIA DE OBRAS DESTE MUNICIPIO</t>
  </si>
  <si>
    <t>COMPLEMENTAÇÃO DE MÃO DE OBRA PARA A CONSTRUÇÃO DO CANAL DE CANALIZAÇÃO DE ÁGUAS PLUVIAIS DO PATIO EM FRENTE AO HOSPITAL MUNICIPAL</t>
  </si>
  <si>
    <t>SERVIÇO DE ABERTURA DO CANAL DA RUA ROSA XAVIER PARA A PASSAGEM MOLHADA PARA PASSAGEM DE TUBOS</t>
  </si>
  <si>
    <t>CONSTRUÇÃO  DE PAVIMENTO EM PEDRA RACHÃO NA RUA AGUSTINHO NOGUEIRA BARROS</t>
  </si>
  <si>
    <t>CONSTRUÇÃO DO CENTRO DE MONITORAMENTO DA GUARDA MUNICIPAL</t>
  </si>
  <si>
    <t>REFORMA DA CASA DA MULHER</t>
  </si>
  <si>
    <t>TOMADA DE PREÇO 00007/2012</t>
  </si>
  <si>
    <t>EXECUÇÃO DOS SERVIÇOS DE MELHORIAS SANITARIAS DOMICILIARES, TIPO 4-MODULO COM VASO SANITARIO, BANHEIRO, LAVATORIO, RESERVATORIO ELEVADO, TANQUE DE LAVAR ROUPA, PIA DE COZINHA, TANQUE SEPTICO E SUMIDOURO EM VARIAS LOCALIDADES DO MUNICÍPIO.</t>
  </si>
  <si>
    <t>CONSTRUÇÃO DO POSTO DE SAÚDE DO BAIRRO VITORINO GOMES</t>
  </si>
  <si>
    <t>PERFURAÇÃO DE POÇOS</t>
  </si>
  <si>
    <t>CONSTRUÇÃO DE GALERIA NO POVOADO DO BREJINHO</t>
  </si>
  <si>
    <t xml:space="preserve">TOMADA DE PREÇOS 004/2014 </t>
  </si>
  <si>
    <t xml:space="preserve">CONTRATAÇÃO DE EMPRESA DE ENGENHARIA PARA CONSTRUÇÃO DE UMA ESCOLA COM 6 (SEIS SALAS DE AULA NA SEDE DSTE MUNICIPIO). </t>
  </si>
  <si>
    <t xml:space="preserve">LICITAÇÃO N° 033/2011 - TP Nº002/2011 </t>
  </si>
  <si>
    <t>PAVIMENTAÇÃO EM PARALELEPÍPEDOS GRANÍTICOS NA RUA ANCILON ELOI BEZERRA E PARTE DA RUA FREI DAMIÃO NA SEDE E TRAVESSA DA MATRIZ NO DISTRITO DE GROSSOS.</t>
  </si>
  <si>
    <t>TP Nº 004/2016 - PROCESSO LICITATÓRIO Nº 017/2016</t>
  </si>
  <si>
    <t>TP 06/2017</t>
  </si>
  <si>
    <t>P.L: 051/2012 Concorrência: 003/2012</t>
  </si>
  <si>
    <t>P.L: 057/2015 T.P: 005/2015</t>
  </si>
  <si>
    <t>P.L: 0452015 T.P: 004/2015</t>
  </si>
  <si>
    <t xml:space="preserve">P.L: 096/2015 Concorrência 011/2015 </t>
  </si>
  <si>
    <t>P.L: 092/2015 T.P: 015/2015</t>
  </si>
  <si>
    <t>P.L: 032/2016 T.P: 005/2016</t>
  </si>
  <si>
    <t xml:space="preserve">P.L: 073/2015 Concorrência 008/2015 </t>
  </si>
  <si>
    <t xml:space="preserve">P.L: 043/2016 T.P: 007/2016 </t>
  </si>
  <si>
    <t xml:space="preserve">P.L: 093/2015 T.P: 016/2015 </t>
  </si>
  <si>
    <t>Tomada de Preço 004/2015</t>
  </si>
  <si>
    <t>Construção da Feira Livre do Bairro da Varzea</t>
  </si>
  <si>
    <t>SECRETARIA DE INFRAESTRUTURA E HABITAÇÃO</t>
  </si>
  <si>
    <t>Concorrência/ 02.2009</t>
  </si>
  <si>
    <t>Concorrência/ 02.2013</t>
  </si>
  <si>
    <t>CONVITE / Nº 005/2016</t>
  </si>
  <si>
    <t>SERVIÇOS RECUPERAÇÃO DA ESTRUTURA METÁLICA DA COBERTA DO PRÉDIO QUE ABRIGA AS BALANÇAS DE PESAGEM DE VEICULOS DO ATERRO SANITÁRIO DA MURIBECA.</t>
  </si>
  <si>
    <t>CONVITE / Nº 003/2016</t>
  </si>
  <si>
    <t>SERVIÇO DE DRENAGEM E BLOQUEIO DE REFLUXO DE MARÉ NA RUA CAPITÃO LIMA</t>
  </si>
  <si>
    <t>CONVITE / Nº 09/2016</t>
  </si>
  <si>
    <t>RECUPERAÇÃO, AMPLIAÇÃO E REFORMA DAS GAIOLAS DO MINI ZOOLOGICO DO PARQUE TREZE DE MAIO.</t>
  </si>
  <si>
    <t>CONVITE / Nº 0010/2016</t>
  </si>
  <si>
    <t>SERVIÇOS DE ENGENHARIA E OBRAS PARA REFORMA DA GOFI 4-5.</t>
  </si>
  <si>
    <t>CONCORRENCIA / Nº 04/2016</t>
  </si>
  <si>
    <t>CONTRATAÇÃO DE EMPRESA EM ENGENHARIA ESPECIALIZADA EM ILUMINAÇÃO PÚBLICA PARA FORNECIMENTO E INSTALAÇÃO DE LUMINARIA COM TECNOLOGIA LED PARA ILUMINAÇÃO DA AVENIDA CAXANGÁ.</t>
  </si>
  <si>
    <t>CONCORRENCIA / N° 005/16</t>
  </si>
  <si>
    <t xml:space="preserve">SERVIÇOS DE INSTALAÇÃO DE LUMINÁRIA COM TECNOLOGIA LED, COMPATÍVEL COM SISTEMA DE TELEGESTÃO, COM FORNECIMENTO DE MATERIAIS, PARA A ILUMINAÇÃO PÚBLICA DA AVENIDA GOVERNADOR AGAMENON MAGALHÃES  </t>
  </si>
  <si>
    <t>PREGÃO PRESENCIAL / Nº 0031/2015</t>
  </si>
  <si>
    <t>FORNECIMENTO, MONTAGEM E INSTALAÇÃO DE QUADRO DE COMANDO ELETRO ELETRONICO PARA CONTROLE E ACIONAMENTO DE CONJUNTOS DE MOTO BOMBAS E INSTALAÇÃO DE CONJUNTO DE MOTO BOMBAS PARA O SISTEMA DE DRENAGEM FORÇADA DO CANAL DERBY- TACARUNA, NOS JUSANTES NORTE E SUL.</t>
  </si>
  <si>
    <t>CONVITE/nº 001/2017</t>
  </si>
  <si>
    <t xml:space="preserve">SERVIÇOS DE REQUALIFICAÇÃO DE DRENAGEM DA COMUNIDADE PADRE VILLEIMAIN </t>
  </si>
  <si>
    <t>CONVITE / Nº 02/2017</t>
  </si>
  <si>
    <t>CONTRATAÇÃO DE EMPRESA DE ENGENHARIA CIVIL PARA EXECUÇÃO DE 200 METROS LINEAR DE MURO PERIMETRAL NA DIRETORIA DE LIMPEZA URBANA</t>
  </si>
  <si>
    <t>CONVITE / Nº 03/2017</t>
  </si>
  <si>
    <t>IMPLANTAÇÃO DE QUADRA POLIESPORTIVA NO SEGUNDO REFÚGIO DA AV. AGAMENON MAGALHÃES</t>
  </si>
  <si>
    <t>CONVITE Licitação: 4/2017</t>
  </si>
  <si>
    <t>SERVIÇOS DE REFORMA DA GERENCIA OPERACIONAL DE FISCALIZAÇÃO RPA 1</t>
  </si>
  <si>
    <t>TOMADA /nº 001/2017</t>
  </si>
  <si>
    <t>RECUPERAÇÃO DA REDE DE DRENAGEM DA RUA JOSÉ MOREIRA REIS - MUSTARDINHA</t>
  </si>
  <si>
    <t>CONCORRÊNCIA Licitação: 2/2017</t>
  </si>
  <si>
    <t>CONTRATAÇÃO DE EMPRESA DE ENGENHARIA CIVIL PARA EXECUÇÃO DE SERVIÇOS DE MANUTENÇÃO PREVENTIVA E CORRETIVA DE PRAÇAS</t>
  </si>
  <si>
    <t>TOMADA DE PREÇOS Licitação: 2/2017</t>
  </si>
  <si>
    <t>SERVIÇOS DE RECUPERAÇÃO DA MURETA E ALAMBRADO DO CAMPO DE FUTEBOL DOS ONZE</t>
  </si>
  <si>
    <t>TOMADA DE PREÇOS Licitação: 11/2017</t>
  </si>
  <si>
    <t>CONTRATAÇÃO DE EMPRESA DE ENGENHARIA ESPECIALIZADA EM ILUMINAÇÃO PUBLICA ESPECIAL PARA FORNECIMENTO E INSTALAÇÃO DE LUMINARIAS CONFORME PROJETO BASICO ANEXO.</t>
  </si>
  <si>
    <t>AUTARQUIA DE SERVIÇOS URBANOS DO RECIFE (CSURB)</t>
  </si>
  <si>
    <t>TOMADA DE PREÇOS N.º 006/2015</t>
  </si>
  <si>
    <t>OBRA ENG CONSTR DE COB E ILUM. PT N. DESC.</t>
  </si>
  <si>
    <t xml:space="preserve">CARTA CONVITE 001/2015 </t>
  </si>
  <si>
    <t>SERV. ENG. URBANIZ. SEDE CSURB</t>
  </si>
  <si>
    <t>TOMADA DE PREÇOS N.º 002/2015</t>
  </si>
  <si>
    <t>OBRA ENG REQUAL. SETOR PESC. ENCRUZ.</t>
  </si>
  <si>
    <t>TOMADA DE PREÇOS N.º 003/2015</t>
  </si>
  <si>
    <t>OBRA ENG CONSTR CENTRO DE COM POP SAUDADE-RIACHUELO</t>
  </si>
  <si>
    <t>TOMADA DE PREÇOS N.º 008/2015</t>
  </si>
  <si>
    <t>OBRA ENG READEQUAÇÃO SEDE CSURB</t>
  </si>
  <si>
    <t>Concorrência nº 001/2016
Processo Licitatório nº 001/2016</t>
  </si>
  <si>
    <t>Pregão Presencial 04/2013 -Processo Licitatório 011/2013</t>
  </si>
  <si>
    <t>LOPES E SIQUEIRA CONSTRUÇÕES LTDA-ME</t>
  </si>
  <si>
    <t>830296/2016</t>
  </si>
  <si>
    <t>830291/2016</t>
  </si>
  <si>
    <t>M CIDADES</t>
  </si>
  <si>
    <t>J &amp; J CARVALHO CONSTRUTORA LTDA</t>
  </si>
  <si>
    <t>0518/08</t>
  </si>
  <si>
    <t>BL CONSTRUTORA E SERVIÇOS LTDA</t>
  </si>
  <si>
    <t>WCN EMPREENDIMENTOS E SERVIÇOS LTDA</t>
  </si>
  <si>
    <t>109/11</t>
  </si>
  <si>
    <t>662.205.134-87</t>
  </si>
  <si>
    <t>SUZANA PRAZERES CORTEZ</t>
  </si>
  <si>
    <t>061.238.934-08</t>
  </si>
  <si>
    <t>JOSÉ IVALDO GAMA SANTOS</t>
  </si>
  <si>
    <t>121.300.814-01</t>
  </si>
  <si>
    <t>Claudemir Mauricio da Silva</t>
  </si>
  <si>
    <t>092.624.304-77</t>
  </si>
  <si>
    <t>Sebastião Ferreira da Silva</t>
  </si>
  <si>
    <t>23.947.404/0001-92</t>
  </si>
  <si>
    <t xml:space="preserve">ASPT SONDAGENS E SERVIÇOS LTDA ME </t>
  </si>
  <si>
    <t>21.627.038/0001-690</t>
  </si>
  <si>
    <t>MENEZES LOCAÇÕES E SERVIÇOS E CIA LTDA</t>
  </si>
  <si>
    <t>059/15</t>
  </si>
  <si>
    <t>083.488.384-81</t>
  </si>
  <si>
    <t>FLÁVIO DE ANDRADE NUNES</t>
  </si>
  <si>
    <t>C.R: 336.556-22/2010 SIAFI: 746951</t>
  </si>
  <si>
    <t>C.R: 332.161-68/2010 SIAFI: 740052</t>
  </si>
  <si>
    <t>CNPJ 09.531.960/0001-52</t>
  </si>
  <si>
    <t>IG CONSTRUTORA IG LTDA.</t>
  </si>
  <si>
    <t xml:space="preserve">CONVENIO Nº 2.001/2014 </t>
  </si>
  <si>
    <t>FUNDO ESTADUAL DE APOIO AO DESENVOLVIMENTO MUNICIPAL – FEM / GOV. ESTADUAL</t>
  </si>
  <si>
    <t>800686/2013</t>
  </si>
  <si>
    <t>07.526.010/000-14</t>
  </si>
  <si>
    <t>AS SERVIÇOS E EMPREENDIMENTOS LTDA - ME</t>
  </si>
  <si>
    <t>108.831.084-29</t>
  </si>
  <si>
    <t>HELIO JOÃO DA SILVA</t>
  </si>
  <si>
    <t>Termo de Adesão nº 013/2014</t>
  </si>
  <si>
    <t>J APARECIDO DOS SANTOS CONSTRUÇÃO EIRELI-ME</t>
  </si>
  <si>
    <t xml:space="preserve">CONSTRUTORA PLENA LTDA-ME </t>
  </si>
  <si>
    <t>VALE DO IPOJUCA CONSTRUTO RA EIRELLI</t>
  </si>
  <si>
    <t>20.916.073/0001-35</t>
  </si>
  <si>
    <t>D S DA SILVA ROCCO EMPREENDIMENTOS ME</t>
  </si>
  <si>
    <t>20.442.011/0001-39</t>
  </si>
  <si>
    <t>MARIA HELENA DE ARAUJO CASTRO BARROS-ME</t>
  </si>
  <si>
    <t>109.987.544-71</t>
  </si>
  <si>
    <t>JANDIELSON DE MELO ALVES</t>
  </si>
  <si>
    <t>010.391.124-39</t>
  </si>
  <si>
    <t>JULIO CÉSAR GOMES MACIEL</t>
  </si>
  <si>
    <t>17.733.348/0001-90</t>
  </si>
  <si>
    <t>INDUSTRIA E COMERCIO CAMBITO LTDA</t>
  </si>
  <si>
    <t>770.952.274-20</t>
  </si>
  <si>
    <t>ERINILSON ALVES DA SILVA</t>
  </si>
  <si>
    <t>25.317.037/0001-79</t>
  </si>
  <si>
    <t>E. M. da SILVA PISOS</t>
  </si>
  <si>
    <t>23.519.462/0001-15</t>
  </si>
  <si>
    <t>DENAILSON ALVES DOS SANTOS</t>
  </si>
  <si>
    <t>080.301.804-54</t>
  </si>
  <si>
    <t>LEANDRO LUIZ LIMA DA SILVA</t>
  </si>
  <si>
    <t>JANDIELSON DE MÉLO ALVES</t>
  </si>
  <si>
    <t>355.716.404-72</t>
  </si>
  <si>
    <t>EDMILSON CASSIANO DE ASSIS</t>
  </si>
  <si>
    <t>CONSTRUTORA MATRIZ LTDA EPP</t>
  </si>
  <si>
    <t>TC PAC 2 00718/2011</t>
  </si>
  <si>
    <t>JPR Construções LTDA</t>
  </si>
  <si>
    <t>247/12</t>
  </si>
  <si>
    <t>˗</t>
  </si>
  <si>
    <t>PEIXOTO CONSTRUÇÕES E EMPREENDIMENTOS LTDA ME</t>
  </si>
  <si>
    <t xml:space="preserve">MINISTÉRIO DA INTEGRAÇÃO NACIONAL </t>
  </si>
  <si>
    <t>CAPA CONSTRUÇÕES, EVENTOS E EMPREENDIMENTOS LTDA – ME</t>
  </si>
  <si>
    <t>4891/2013</t>
  </si>
  <si>
    <t>RM CONSTRUÇÃO LTDA – ME</t>
  </si>
  <si>
    <t>T.A Nº 024/2014</t>
  </si>
  <si>
    <t>FUNDO ESTADUAL DE APOIO O DESENVOLVIMENTO MUNICIPAL – FEM</t>
  </si>
  <si>
    <t>MJ EMPREENDIMENTOS LTDA ME</t>
  </si>
  <si>
    <t>FUNDAÇÃO NACIONAL DE SAÚDE - FUNASA</t>
  </si>
  <si>
    <t>MIKAEL PEDROZA ENGENHARIA EIRELI – ME</t>
  </si>
  <si>
    <t>250.000,00</t>
  </si>
  <si>
    <t>17/12/15</t>
  </si>
  <si>
    <t>JCM CONSTRUÇÃO LTDA-ME              ARRAIAL CONSTR. DE EDIFÍCIOS LTDA-ME</t>
  </si>
  <si>
    <t>05643776/0001-43</t>
  </si>
  <si>
    <t>PILAR SERVIÇOS LTDA.</t>
  </si>
  <si>
    <t>10/07/15</t>
  </si>
  <si>
    <t>Construtora RZ Fênix LTDA</t>
  </si>
  <si>
    <t>PAR 22566/2014</t>
  </si>
  <si>
    <t>CPM CONTRUTORA LTDA-EPP</t>
  </si>
  <si>
    <t>PAC II 7288/2013</t>
  </si>
  <si>
    <t>1014172-53/2013 1005403-54/2013 1008644-99/2013 1009953-58/2013 1010722-98/2013 1005612-95/2013</t>
  </si>
  <si>
    <t>801330/2014</t>
  </si>
  <si>
    <t>FEM 14 - I</t>
  </si>
  <si>
    <t>C &amp; C CONSTRUTORA E PRESTADORA DE SERVIÇOS LTDA ME</t>
  </si>
  <si>
    <t>Nº17567/2013</t>
  </si>
  <si>
    <t>PLANALTO PAJEÚ EMPREENDIMENTO LTDA.</t>
  </si>
  <si>
    <t>Nº068/2013</t>
  </si>
  <si>
    <t>Nº205853/2013</t>
  </si>
  <si>
    <t>10.566.011/0001/72</t>
  </si>
  <si>
    <t>Nº067/2013</t>
  </si>
  <si>
    <t>Nº 17566/2013</t>
  </si>
  <si>
    <t>Nº 002/2014</t>
  </si>
  <si>
    <t>Nº 29854/2014</t>
  </si>
  <si>
    <t>SS SERVIÇOS LOCAÇÕES E CONSTRUÇÕES LTDA.</t>
  </si>
  <si>
    <t>Nº 014/2014</t>
  </si>
  <si>
    <t>784218/2015</t>
  </si>
  <si>
    <t>785235/2015</t>
  </si>
  <si>
    <t>787797/2015</t>
  </si>
  <si>
    <t>789640/2015</t>
  </si>
  <si>
    <t>798125/2015</t>
  </si>
  <si>
    <t>Nº800596/2013</t>
  </si>
  <si>
    <t>CONSTRUTEC PROJETOS E OBRA DE ENGENHARIA CIVIL</t>
  </si>
  <si>
    <t>Nº026/2015</t>
  </si>
  <si>
    <t>Nº006/2015</t>
  </si>
  <si>
    <t>18.570.749/0001-30</t>
  </si>
  <si>
    <t>GM RAMOS CONSTRUÇÕES LTDA</t>
  </si>
  <si>
    <t>Nº041/2016</t>
  </si>
  <si>
    <t>Nº042/2016</t>
  </si>
  <si>
    <t>803084/2014</t>
  </si>
  <si>
    <t>Nº 43/2016</t>
  </si>
  <si>
    <t>3007 3008 3014</t>
  </si>
  <si>
    <t>22.782.043/0001-09</t>
  </si>
  <si>
    <t>MCDS X. de O. Júnior</t>
  </si>
  <si>
    <t>19/16</t>
  </si>
  <si>
    <t>L&amp;C INCORPORADORA LTDA ME</t>
  </si>
  <si>
    <t>M &amp; C CONSTRUTORA E SERVIÇOS LTDA - EPP.</t>
  </si>
  <si>
    <t>Obra: (1006749) Estrada do Feiticeiro</t>
  </si>
  <si>
    <t>ADS CONSTRUTORA LTDA</t>
  </si>
  <si>
    <t>CONSTRUTORA SANTA LEONOR LTDA – EPP</t>
  </si>
  <si>
    <t>776/2017</t>
  </si>
  <si>
    <t>CONTRATO DE REPASSE Nº 371.281-33</t>
  </si>
  <si>
    <t>LOTE 01: 784169/2013 // LOTE 02: 789547/2013</t>
  </si>
  <si>
    <t>MIN. DO TURISMO // MIN. DAS CIDADES</t>
  </si>
  <si>
    <t>CONTRATO DE REPASSE Nº 364.931-46</t>
  </si>
  <si>
    <t>MIN. DO TURISMO / CAIXA-CONVENIO SICONV 757244</t>
  </si>
  <si>
    <t>FUNDO MUNICIPAL DE ASSISTÊNCIA SOCIAL DE CARUARU - MINISTÉRIO DO DESENVOLVIMENTO SOCIAL</t>
  </si>
  <si>
    <t>027/2010</t>
  </si>
  <si>
    <t>0882/2007</t>
  </si>
  <si>
    <t>CONVÊNIO 786896/2013</t>
  </si>
  <si>
    <t>CONTRATO DE REPASSE Nº 823271/2015 PROCESSO Nº 2692.1026.834-46/2015</t>
  </si>
  <si>
    <t>MINISTÉRIO DA AGRICULTURA, PECUÁRIA E ABASTECIMENTO</t>
  </si>
  <si>
    <t>ESSE - ENGENHARIA, SINALIZAÇÃO E SERVIÇOS ESPECIAIS LTDA</t>
  </si>
  <si>
    <t>CONTRATO DE REPASSE Nº 806001/2014 - PROCESSO Nº 2692.1019179-51/2014 - 002/2014 (RUA SEVERINO CARNEIRO)</t>
  </si>
  <si>
    <t>MINISTÉRIO DAS CIDADES / CAIXA - SEPLAG/PE (RUA SEVERINO CARNEIRO)</t>
  </si>
  <si>
    <t>7405/2013</t>
  </si>
  <si>
    <t>02.951.249/ 0001-08</t>
  </si>
  <si>
    <t>RIO BRANCO CONSTRUTORA</t>
  </si>
  <si>
    <t>CONTRATO N° 012/2016</t>
  </si>
  <si>
    <t>5663/2013</t>
  </si>
  <si>
    <t>CONTRATO N° 038/2014</t>
  </si>
  <si>
    <t>05.596.625/ 0001-81</t>
  </si>
  <si>
    <t>CONTRATO N° 002/2014</t>
  </si>
  <si>
    <t>1545100311 062</t>
  </si>
  <si>
    <t>FUNDO MUNICIPAL DESAUDE</t>
  </si>
  <si>
    <t>CONTRATO N° 058/2014</t>
  </si>
  <si>
    <t xml:space="preserve">MVC- COMPONENTES PLASTICOS </t>
  </si>
  <si>
    <t>ITAPAJEÚ CONSTRUÇOES E PROJETOS LTDA</t>
  </si>
  <si>
    <t>060 /2014</t>
  </si>
  <si>
    <t>CV nº 25100.059.873/200
6-25  - Funasa CV nº 0360/08 e 0382/08</t>
  </si>
  <si>
    <t>FUNDAÇÃO NACIONAL  DE
SAÚDE   / FUNASA</t>
  </si>
  <si>
    <t>GCM  Construtora e Incorp. Ltda</t>
  </si>
  <si>
    <t>Pires Construções Locações e Serviços e Cia Ltda- EPP</t>
  </si>
  <si>
    <t>TC 0526/08 TC 0179/12</t>
  </si>
  <si>
    <t>18.667.649/0001-26</t>
  </si>
  <si>
    <t>A F DE MEDEIROS LÚCIO EIRELI - ME</t>
  </si>
  <si>
    <t>MAV Consultoria e Serviços Ltda</t>
  </si>
  <si>
    <t>PAULO SERGIO &amp; CIA CONST. LTDA</t>
  </si>
  <si>
    <t>Nº 4307/2013</t>
  </si>
  <si>
    <t>D'BARROS CONSTRUÇÕES E PROJETOS LTDA</t>
  </si>
  <si>
    <t>Nº 4307/2014</t>
  </si>
  <si>
    <t>08.051.919/0001-16</t>
  </si>
  <si>
    <t>GEODAVE ALBUQUERQUE DE SOUSA EIRELI-ME</t>
  </si>
  <si>
    <t>11207.7310001/14-003</t>
  </si>
  <si>
    <t>11207.7310001/14-002</t>
  </si>
  <si>
    <t>11207.7310001/16-005</t>
  </si>
  <si>
    <t>029/2017 FMS</t>
  </si>
  <si>
    <t>18.870.567/0001-84</t>
  </si>
  <si>
    <t xml:space="preserve">JN Santos Construções - mJosé Maysla Construções Ltda - ME </t>
  </si>
  <si>
    <t>Ministério da Saúde FUNASA</t>
  </si>
  <si>
    <t>WILLGTON SOARES CAVALCANTE EIRELI- ME</t>
  </si>
  <si>
    <t>210/2017</t>
  </si>
  <si>
    <t xml:space="preserve">PAC 2 - Nº 205420/2013 PROCESSO Nº 2340007762201352 </t>
  </si>
  <si>
    <t>04.684.200/0001-06</t>
  </si>
  <si>
    <t>PROQUALITY ENGENHARIA LTDA.</t>
  </si>
  <si>
    <t>CONSTRUTORA PRAXEDESLTDA-ME</t>
  </si>
  <si>
    <t>J.ANCHIETA SILVA CONSTRUÇÕES LTDA EPP</t>
  </si>
  <si>
    <t>806195/2014</t>
  </si>
  <si>
    <t>17.451.506/0001-10</t>
  </si>
  <si>
    <t>ATIVA ENGENHARIA LTDA EPP</t>
  </si>
  <si>
    <t xml:space="preserve">703274/2010 </t>
  </si>
  <si>
    <t xml:space="preserve">FNDE - MINISTERIO DA EDUCAÇÃO </t>
  </si>
  <si>
    <t xml:space="preserve">CONSTRUMAR - CONTRUTORA E INCORPORADORA MARANHÃO </t>
  </si>
  <si>
    <t xml:space="preserve">024/2012 </t>
  </si>
  <si>
    <t>FEM III</t>
  </si>
  <si>
    <t>Brasilar Comércio, Indústria e Serviços de Construção Ltda</t>
  </si>
  <si>
    <t>198/2016</t>
  </si>
  <si>
    <t>796505/2013 </t>
  </si>
  <si>
    <t>FUNASA - MINISTERIO DA SAUDE</t>
  </si>
  <si>
    <t>12.402.703/0001-25</t>
  </si>
  <si>
    <t>AMPLA CONSULTORIA</t>
  </si>
  <si>
    <t xml:space="preserve">148/2016 </t>
  </si>
  <si>
    <t>778590/2012</t>
  </si>
  <si>
    <t xml:space="preserve">149/2016 </t>
  </si>
  <si>
    <t>831566/2016</t>
  </si>
  <si>
    <t xml:space="preserve">Ministério dos Esportes </t>
  </si>
  <si>
    <t>832324/2016</t>
  </si>
  <si>
    <t>NORDESTE CONSTRUÇÕES E INSTALAÇÕES E LOCAÇÕES – ME</t>
  </si>
  <si>
    <t>103/2017</t>
  </si>
  <si>
    <t>VL TECNOLOGICA LTDA - EPP</t>
  </si>
  <si>
    <t>MONTBRAVO CONSTRUÇÕES E SERVIÇOS EIRELI EPP</t>
  </si>
  <si>
    <t>131/2017</t>
  </si>
  <si>
    <t>CONTRATO DE REPASSE: 1026925-85/2015</t>
  </si>
  <si>
    <t>14.733.583/0001-74</t>
  </si>
  <si>
    <t>PROJETAR CONSTRUÇÕES E PROJETOS EIRELI-ME</t>
  </si>
  <si>
    <t>CONTRATO DE REPASSE: 822900/2015</t>
  </si>
  <si>
    <t>E.U.S. CONSTRUÇÕES E SERVIÇOS LTDA-ME</t>
  </si>
  <si>
    <t>134/2017</t>
  </si>
  <si>
    <t>PROPOSTA Nº 11360.8840001/14-003</t>
  </si>
  <si>
    <t>671986</t>
  </si>
  <si>
    <t>V &amp; A CONSTRUTORA LTDA ME</t>
  </si>
  <si>
    <t>00048/2012</t>
  </si>
  <si>
    <t>30/12/2011</t>
  </si>
  <si>
    <t>COSNTRUTORA CANTEIRO DE OBRAS LTDA - ME</t>
  </si>
  <si>
    <t>081/2014-CPL</t>
  </si>
  <si>
    <t>M.S.D - FUNASA</t>
  </si>
  <si>
    <t>19.275.475/0001-19</t>
  </si>
  <si>
    <t>310.017-43/2009</t>
  </si>
  <si>
    <t>051/2011</t>
  </si>
  <si>
    <t>UBS Nº 10168235000/110007 MINISTÉRIO DA SAÚDE</t>
  </si>
  <si>
    <t>0363432-85/2012</t>
  </si>
  <si>
    <t>10459/2014</t>
  </si>
  <si>
    <t>5863/2013 e 10459/2014</t>
  </si>
  <si>
    <t>FUNDO ESTADUAL DE APOIO AO DESENVOLVIMENTO MUNICIPAL (FEM - EMENDA PARLAMENTAR Nº 352/2015)</t>
  </si>
  <si>
    <t>23.277.087/0001-44</t>
  </si>
  <si>
    <t>GUIMARAES E ALBUQUERQUE ENGENHARIA LTDA</t>
  </si>
  <si>
    <t>1-003/16</t>
  </si>
  <si>
    <t>1-004/16</t>
  </si>
  <si>
    <t xml:space="preserve">VIZIR ENGENHARIA LDTA                                 </t>
  </si>
  <si>
    <t>1-007/16</t>
  </si>
  <si>
    <t>1-009/16</t>
  </si>
  <si>
    <t>6-014/16</t>
  </si>
  <si>
    <t>6-016/16</t>
  </si>
  <si>
    <t>6-027/15</t>
  </si>
  <si>
    <t>1-002/17</t>
  </si>
  <si>
    <t>PROLUCMAR PROJETOS E SERVIÇOS DE EXECUÇÃO DE OBRAS E MANUTENÇÃO LTDA-ME</t>
  </si>
  <si>
    <t>1-005/17</t>
  </si>
  <si>
    <t>SOLO CONSTRUÇÕES E TERRAPLENAGEM LTDA</t>
  </si>
  <si>
    <t>1-006/17</t>
  </si>
  <si>
    <t>#NOME?</t>
  </si>
  <si>
    <t>1-007/17</t>
  </si>
  <si>
    <t>6-009/17</t>
  </si>
  <si>
    <t>6-016/17</t>
  </si>
  <si>
    <t>6-017/17</t>
  </si>
  <si>
    <t>6-033/17</t>
  </si>
  <si>
    <t>07.811.641./0001-75</t>
  </si>
  <si>
    <t>MARINHO CONSTRUÇÕES LTDA.</t>
  </si>
  <si>
    <t>LITIO ENG. LTDA.</t>
  </si>
  <si>
    <t>TRÓPICOS
Engenharia e Comércio Ltda</t>
  </si>
  <si>
    <t>ALCA
Engenharia Ltda
- EPP</t>
  </si>
  <si>
    <t>1/13/2015</t>
  </si>
  <si>
    <t>02/01/207</t>
  </si>
  <si>
    <t>16/01/2017 (PARALISAÇÃO)</t>
  </si>
  <si>
    <t>01/12/17 (PARALISAÇÃO)</t>
  </si>
  <si>
    <t>01/03/2017 (PARALISAÇÃO)</t>
  </si>
  <si>
    <t>LOTE II - 03/04/17 (PARALISAÇÃO) 17/07/17 (REINÍCIO) / LOTE IV - 02/02/17 (PARALISAÇÃO) 20/09/17 (REINÍCIO)</t>
  </si>
  <si>
    <t xml:space="preserve">01/02/2017 (PARALISAÇÃO) </t>
  </si>
  <si>
    <t>12.05.2017</t>
  </si>
  <si>
    <t>(08/07/2018)</t>
  </si>
  <si>
    <t>Redução de meta concluída.</t>
  </si>
  <si>
    <t>12.07.2017</t>
  </si>
  <si>
    <t>PARALIZADA/DISTRATO</t>
  </si>
  <si>
    <t>Apresentou valores incoerentes.</t>
  </si>
  <si>
    <t>1093-4.4.90.51.98</t>
  </si>
  <si>
    <t xml:space="preserve">1º TERMO ADITIVO DE 6 MESES 2º TERMO DE DECRESCIMO , APÓS A REPROGRAMACAO ORCAMENTARIA OCORRIDA COM A CORRECAO DO ITEM DE ALVENARIA DE VEDACAO, NO PERCENTUAL DE 5,79% AO VALOR DO CONTRATO FIRMADO ENTRE AS PARTES EM 14/12/2016. O VALOR TOTAL DA REDUCAO CONTRATUAL É DE R$ 20.287,36. O VALOR DO CONTRATO APÓS ALTERACAO NA COMPOSICAO DO SERVIÇO, QUE OCASIONOU A REDUCAO CONTRATUAL, TOTALIZA O MONTANTE DE R$ 329.897,53. 3º TERMO ADITIVO DE 3 MESES. </t>
  </si>
  <si>
    <t>14,356,57</t>
  </si>
  <si>
    <t>Cancelada / Distratada</t>
  </si>
  <si>
    <t>3.3390.30.00</t>
  </si>
  <si>
    <t>3.3.90.36.19</t>
  </si>
  <si>
    <t>OBRA DESTRATADA</t>
  </si>
  <si>
    <t>Nada a registrar</t>
  </si>
  <si>
    <t>4.4.90.51 - OBRAS E INSTALAÇÕES</t>
  </si>
  <si>
    <t>Paralisada por reajuste Contratual</t>
  </si>
  <si>
    <t>4.4.90.51 (Obras)</t>
  </si>
  <si>
    <t>5.4.90.51 (Obras)</t>
  </si>
  <si>
    <t>6.4.90.51 (Obras)</t>
  </si>
  <si>
    <t xml:space="preserve">44.90.51 </t>
  </si>
  <si>
    <t>Desonerado</t>
  </si>
  <si>
    <t xml:space="preserve">  1º BM - R$: 40.775,04
  2ºBM - R$: 8.531,81</t>
  </si>
  <si>
    <t>PARALIZADA (AGUARDANDO LIBERAÇÃO DE RECURSOS )</t>
  </si>
  <si>
    <t>Houve redução de meta, o saldo do recurso foi devolvido e concluído a prestação de contas com a FUNASA.</t>
  </si>
  <si>
    <t>Paralisada, aguardando repasse de parcela do recurso por parte do Estado.</t>
  </si>
  <si>
    <t>Obra Concluída</t>
  </si>
  <si>
    <t>3390.30 339036</t>
  </si>
  <si>
    <t>3390.30 3390.36</t>
  </si>
  <si>
    <t>339039 339030 339036</t>
  </si>
  <si>
    <t>339030 339039</t>
  </si>
  <si>
    <t>4.837,00</t>
  </si>
  <si>
    <t>A COMEÇAR</t>
  </si>
  <si>
    <t>CONCLUÍDA (RESTANTE DO VALOR SERÁ ESTORNADO)</t>
  </si>
  <si>
    <t>CONCLUÍDA, CONFORME INFORMADO EM RESPOSTA AO OFÍCIO TC-NEG Nº 575/2017</t>
  </si>
  <si>
    <t>EM ANDAMENTO (AGUARDANDO LIBERAÇÃO DE RECURSOS)</t>
  </si>
  <si>
    <t>FALTA PAGAMENTO</t>
  </si>
  <si>
    <t xml:space="preserve">encerrado  </t>
  </si>
  <si>
    <t xml:space="preserve">andamento  </t>
  </si>
  <si>
    <t xml:space="preserve">encerrado </t>
  </si>
  <si>
    <t>3.3.93.39</t>
  </si>
  <si>
    <t>Processo 010/2014 e Concorrência 01/2014</t>
  </si>
  <si>
    <t>Serviço de engenharia para execução de obras de ampliação e reforma estrutural predial com fornecimento de material da Escola Agrícola Luiz Dias Lins no município de Escada (PE)</t>
  </si>
  <si>
    <t>Processo 004/2016 e Tomada de Preços 001/2016</t>
  </si>
  <si>
    <t>Serviço de engenharia para execução de obras de ampliação e reforma estrutural do Centro Técnológico de Serra Talhada/PE</t>
  </si>
  <si>
    <t>Serviço de engenharia para execução de obras de ampliação e reforma estrutural do Centro Técnológico de Caruaru/PE</t>
  </si>
  <si>
    <t>Execução dos serviços de apoio logístico/operacional para complementação dos processos de desapropriação e liberação da faixa da Ferrovia Transnordestina, trecho: Divisa PE/PI – Trindade e Salgueiro – Suape</t>
  </si>
  <si>
    <t>CC.001/2014 / PL.024.CC.001/2014 – CPL-SCJ</t>
  </si>
  <si>
    <t>Contratação empresa para execução de serviços especializados em construção civil (Lotes I, II e III), com a finalidade de executar serviços de engenharia para ampliar e/ou reformar os setores molhados, ou seja, coziha e despensa, sanitários masculino e feminino, inclusive para pessoas com necessidades especiais, e dotar cada escola de condições ideais de suprimento de água, a fim de viabilizar os programas "Toda Escola com Água de Qualidade, Banheiro e Cozinha" e "Toda Criança de 0 a 5 anos na Escola", tudo conforme Termo de Referência, Anexo I, da Concorrência Nº 001/2014. - TODA ESCOLA EXECUÇÃO DAS OBRAS                                                              obra custeada pela fonte 101,</t>
  </si>
  <si>
    <t>CP005/2013/ 
PL. 020.CP005/2013. CEL.SCJ</t>
  </si>
  <si>
    <t>PL nº 014/2015
PE nº 001/2015</t>
  </si>
  <si>
    <t xml:space="preserve">Aquisição com instalação de uma Plataforma elevatoria vertical destinada ao prédio SEDE da Gerencia Regional de Educação - Recife Sul, Metro Norte e Metro Sul. </t>
  </si>
  <si>
    <t>PL nº 023/2013
CC nº  015/2013</t>
  </si>
  <si>
    <t>Construção da Escola Cônego Emanuel Vasconcelos com construção de Quadra Coberta</t>
  </si>
  <si>
    <t>PL n] 019/2012
CC nº  016/2012</t>
  </si>
  <si>
    <t>Construção da ETE  de Bom Conselho</t>
  </si>
  <si>
    <t>PL º 036/2012
CC nº  030/2013</t>
  </si>
  <si>
    <t>Construção da ETE de Caruaru</t>
  </si>
  <si>
    <t>PL nº 004/2015
CC nº 004/2015</t>
  </si>
  <si>
    <t>Construção de Quadra Coberta Poliesportiva e Cobertura Padrão FNDE – 1ª etapa, lote 2 (implantação de quadras nas escolas: 1. ESCOLA PROFª. MARIA GALVÃO; 2. ESCOLA PRESIDENTE KENNEDY; 3. EREM CORSINA BRAGA; 4. ESCOLA LUIZ ALVES DA SILVA; 5. ESCOLA INDÍGENA FULNI-O MARECHAL RONDON. IMPLANTAÇÃO COBERTURA DE QUADRAS NAS ESCOLAS: 6. ESCOLA ESTADUAL FRANCISCO PEREIRA DA COSTA; 7. ESCOLA SIMOA GOMES; 8. ESCOLA CORONEL JOSE ABILIO).</t>
  </si>
  <si>
    <t>PL nº 009/2013
CC nº  003/2013</t>
  </si>
  <si>
    <t>PL nº 004/2014
CC nº  002/2014</t>
  </si>
  <si>
    <t>PL nº 024/2013
CC nº  016/2013</t>
  </si>
  <si>
    <t>Reconstrução da Escola Estadual Fraternidade Palmeirense</t>
  </si>
  <si>
    <t>Reconstrução da Escola Municipal Carlos de Lima Cavalcante</t>
  </si>
  <si>
    <t xml:space="preserve">Reconstrução da Escola Municipal Comunidade Cristã </t>
  </si>
  <si>
    <t>Reconstrução da Escola Municipal Fernando Augusto Pinto</t>
  </si>
  <si>
    <t>Reconstrução da Escola Municipal Francisco Vié</t>
  </si>
  <si>
    <t xml:space="preserve">Reconstrução da Escola Municipal João Antônio de Souza Filho </t>
  </si>
  <si>
    <t>PL nº 005/2016
CC nº  013/2016</t>
  </si>
  <si>
    <t>Recuperação da Estrutura Física das Escolas localizadas no Munícipio de Gravatá-PE. Escola Intermediária João Paulo I, Escola Camocim, Escola Francisco Galdino Chaves, Escola Padre Machado, Escola Cônego Eugênio Vila Nova</t>
  </si>
  <si>
    <t>P.L. Nº 003/2016</t>
  </si>
  <si>
    <t>Reforma e Ampliação das Instalações do Centro de Observação e Triagem Professor Everaldo Luna - COTEL / CONTINUAÇÃO</t>
  </si>
  <si>
    <t>P.L. Nº 001/2017</t>
  </si>
  <si>
    <t>Conclusão do trecho final de 75m da construção da muralha no Complexo Prisional do Curado</t>
  </si>
  <si>
    <t>CONCORRÊNCIA 01/2013</t>
  </si>
  <si>
    <t>DL 001/2017</t>
  </si>
  <si>
    <t>Realização de serviços de limpeza de canal, localizado no conjunto habitacional Vila Nova Claudete.</t>
  </si>
  <si>
    <t>Prestação de serviços de demolição, reconstituição e implantação de cercamento na Tubovia, PPV1 e Área ISPS Code, no Porto de Suape.</t>
  </si>
  <si>
    <t>Serviço de construção de encostas, drenagem e escadarias, no município de Cortês-PE</t>
  </si>
  <si>
    <t>Serviços remanescentes de construção do acesso principal aos principal ao Conjunto Habitacional Engenho Barra D'Ouro (Fase I), Água Preta-PE.</t>
  </si>
  <si>
    <t>Serviços remanescentes de construção do acesso principal ao Conjunto Habitacional Engenho Duas Barras, no municipio de Gameleira</t>
  </si>
  <si>
    <t>TOMADA DE PREÇO 002/2016</t>
  </si>
  <si>
    <t>Convite / 027/2017</t>
  </si>
  <si>
    <t>Contratação de empresa de engenharia especializada na prestação de serviços de correção e otimização do sistema                  elétrico (110/220v) predial de todo 1º andar da Companhia Editora de                   Pernambuco - CEPE, situada na Rua Coelho Leite, nº 530, Santo Amaro,                Recife-PE. Os serviços compreendem do RH até a Diretoria desta empresa, inclusive a desativação e retirada de toda fiação externa da área acima mencionada, conforme projeto elétrico e detalhamento do objeto do Convite e seus Anexos.</t>
  </si>
  <si>
    <t>Dispensa de Licitação nº 001/2017</t>
  </si>
  <si>
    <t>TERRAPLANAGEM, PAVIMENTAÇÃO, DRENAGEM, SISTEMA DE ABASTECIMENTO D´AGUA E ESGOTAMENTO SANITÁRIO EM TEJUCUPAPO, GOIANA, PE</t>
  </si>
  <si>
    <t>Tomada de preços nº 003/2017</t>
  </si>
  <si>
    <t>CONSTRUÇÃO DE 28 UNIDADES HABITACIONAIS, IMPLANTAÇÃO DE INFRAESTRUTURA, DENAGEM E ABASTECIMENTO DE AGUA NA ZONA RURAL DO DISTRITO DE FEITORIA, MUNICÍPIO DE BODOCÓ</t>
  </si>
  <si>
    <t>Concorrência nº 001/2017</t>
  </si>
  <si>
    <t>CONSTRUÇÃO DE 272 UNIDADES HABITACIONAIS, INFREESTRUTURA BÁSICA: PAVIMENTAÇÃO, DRENAGEM, ABASTECIMENTO DE ÁGUA E ESGOTO E REATIVAÇÃO DO CANTEIRO DE OBRA E RECUPERAÇÃO E LIMPEZA DOS BLOCOS DO CONJUNTO HABITACIONAL MULHERES DE TEJUCUPAPO, RECIFE, PE</t>
  </si>
  <si>
    <t>Tomada de preços nº 004/2017</t>
  </si>
  <si>
    <t>PAVIMENTAÇÃO, DRENAGEM E CONSTRUÇÃO DE MURO DE ARRIMO DO LOTEAMENTO VALE VERDE, SAIRÉ, PE</t>
  </si>
  <si>
    <t>Concorrência nº 002/2017</t>
  </si>
  <si>
    <t>CONSTRUÇÃO DE 45 UNIDADES HABITACIONAIS E IMPLATANÇÃO DE INFRAESTRUTURA BÁSICA, COMPPREENDENDO: TERRAPLANAGEM, PAVIMENTAÇÃO, DRENAGEM, ABASTECIMENTO DE AGUA, ESGOTAMENTO SANITÁRIO, ILUMINAÇÃO, SERRA TALHADA, PE</t>
  </si>
  <si>
    <t>Tomada de preços nº 002/2017</t>
  </si>
  <si>
    <t>CONSTRUÇÃO DE 10 UNIDADES HABITACIONAIS E COMPLEMENTAÇÃO DE 8 UNIDADES HABITACIONAIS, EM DIVERSAS LOCALIDADES DA ZONA RURAL DO MUNICÍPIO DE GLÓRIA DO GOITÁ, PE</t>
  </si>
  <si>
    <t>Concorrênia nº 002/2017</t>
  </si>
  <si>
    <t>CONCLUSÃO DE 36 UNIDADES HABITACIONAIS, CONSTRUÇÃO DE 1 UNIDADE HABITACIONAL E IMPLANTAÇÃO DE INFRAESTRUTURA BÁSICA DE QUEIMADAS, TIMBAÚBA, PE</t>
  </si>
  <si>
    <t>AMPLIAÇÃO DA CAPACIDADE DE TRATAMENTO DA ETA SALGADO E IMPLANTAÇÃO DE SISTEMA DE TRATAMENTO DE SEUS EFLUENTES</t>
  </si>
  <si>
    <t>ETP004/2017-CPL</t>
  </si>
  <si>
    <t>IMPLANTAÇÃO DO SISTEMA DE ABASTECIMENTO DE ÁGUA DO DISTRITO DE RIACHO DO MEIO - SÃO JOSÉ DO EGITO - PE</t>
  </si>
  <si>
    <t>DP006655/2016</t>
  </si>
  <si>
    <t>Transposição do Rio Sirinhaém para o sistema Brejão / Bezerros</t>
  </si>
  <si>
    <t>EC015/2016-CPL</t>
  </si>
  <si>
    <t>IMPLANTAÇÃO DO SISTEMA DE ABASTECIMENTO DE ÁGUA DO BAIRRO NOVA ESPERANÇA EM PETROLÂNDIA</t>
  </si>
  <si>
    <t>AMPLIAÇÃO DO SISTEMA DE ABASTECIMENTO DE ÁGUA DA CIDADE DE ALIANÇA</t>
  </si>
  <si>
    <t>AMPLIAÇÃO DA ETA BEZERROS</t>
  </si>
  <si>
    <t>Ampliação do Sistema Produtor de Jucazinho, a partir do Sistema Palmeirinha</t>
  </si>
  <si>
    <t>EC014/2016-CPL</t>
  </si>
  <si>
    <t>Ampliação do Sistema de Abastecimento de Água da cidade de Panelas</t>
  </si>
  <si>
    <t>IMPLANTAÇÃO DO SISTEMA DE ESGOTAMENTO SANITÁRIO-SES, BACIA 2, GARANHUNS/PE</t>
  </si>
  <si>
    <t>IMPLANTAÇÃO DO SISTEMA DE ESGOTAMENTO SANITÁRIO DE VENTUROSA</t>
  </si>
  <si>
    <t>IMPLANTAÇÃO DO SAA DA VILA VER O MAR, LOCALIZADA EM BARRA DE SIRINHAÉM</t>
  </si>
  <si>
    <t>ETP001/2016-CEL-2</t>
  </si>
  <si>
    <t>EC006/2016-CPL</t>
  </si>
  <si>
    <t>Implantação do Sistema de Esgotamento Sanitário da Cidade de Itapetim</t>
  </si>
  <si>
    <t>EC017/2016-CPL</t>
  </si>
  <si>
    <t>Ampliação do SAA  Ameixas em Cumaru</t>
  </si>
  <si>
    <t>NCB005/2016-CEL-2</t>
  </si>
  <si>
    <t>SERVIÇOS DE ADEQUAÇÃO DAS 03 (TRÊS) ELEVATÓRIAS DO SISTEMA ADUTOR DO PRATA PARA ATENDIMENTO DA OFERTA DE ÁGUA FORNECIDA PELO SISTEMA ADUTOR DO PIRANGI</t>
  </si>
  <si>
    <t>DP006735/2017</t>
  </si>
  <si>
    <t>IMPLANTAÇÃO DO SISTEMA ADUTOR DA BERRAGEM DE PAU FERRO PARA A CIDADE DE CANHOTINHO</t>
  </si>
  <si>
    <t>ETP007/2016-CPL</t>
  </si>
  <si>
    <t>CONCLUSÃO DA IMPLANTAÇÃO DO SISTEMA DE ABASTECIMENTO DE ÁGUA DA AGROVILA DO SERROTE DO URUBU, EM PETROLINA.</t>
  </si>
  <si>
    <t>ETP006/2016-CPL</t>
  </si>
  <si>
    <t>Implantação do SAA Sítio Novo e Sítio Quatro Contas, no Município de Feira Nova</t>
  </si>
  <si>
    <t>LPN001/2017-CEL-2</t>
  </si>
  <si>
    <t>Intervenções para Reabilitação das Estações Elevatórias de Esgotos Sanitários Rendeiras II e III,  José Liberato I e Boa Ventura, inclusive Implantação da nova linha de recalque desta última, unidades estas integrantes do SES existente da Cidade de Caruaru/PE</t>
  </si>
  <si>
    <t>ETP001/2017-CPL</t>
  </si>
  <si>
    <t>AMPLIAÇÃO DO SISTEMA ADUTOR A PARTIR DA BARRAGEM DE CARPINA PARA ABASTECIMENTO DA CIDADE DE LIMOEIRO</t>
  </si>
  <si>
    <t>PGE088/2012-CSL</t>
  </si>
  <si>
    <t>Implantação de Ramais Prediais de Água e Fiscalização de Ligações Suprimidas no Âmbito da DRA.</t>
  </si>
  <si>
    <t>ENERGIZAÇÃO DAS ESTAÇÕES ELEVATORIAS A1 E A2 DO SISTEMA DE ESGOTAMENTO SANITÁRIO DE AFOGADOS DA INGAZEIRA</t>
  </si>
  <si>
    <t>EC001/2015-CPL</t>
  </si>
  <si>
    <t>Prestação de Serviços de Implantação de Ramais Prediais de Água e fiscalização de Ligações Suprimidas Âmbito da DRS.</t>
  </si>
  <si>
    <t>PRESTAÇÃO DE SERVIÇO TÉCNICO DE ENGENHARIA PARA REFORMA E MANUTENÇÃO DA INFRAESTRUTURA PREDIAL NOS TERMINAL(IS) , MINITERMINAL(IS)
, EDIFÍCIO SEDE E NO PRÉDIO DA DIVISÃO DE MANUTENÇÃO E EQUIPAMENTOS URBANOS</t>
  </si>
  <si>
    <t>PREGÃO ELETRÔNICO 12/2016</t>
  </si>
  <si>
    <t>CONTRATAÇÃO DE EMPRESA ESPECIALIZADA PARA FORNECIMENTO E INSTALAÇÃO DE UM ELEVADOR HIDRAULICO</t>
  </si>
  <si>
    <t>CONCORRÊNCIA/N°OO1/17</t>
  </si>
  <si>
    <t>SERVIÇO DE REMANESCENTE DE OBRA DE ENGENHARIA PARA CONSTRUÇÃO DO GRUPAMENTO DE  BOMBEIROS NA CIDADE DE SERRA TALHADA.</t>
  </si>
  <si>
    <t xml:space="preserve"> EXECUÇÃO DAS OBRAS DE RESTAURAÇÃO DA RODOVIA PE-095, TRECHO: PE-050-(LIMOEIRO)-ENTR. BR-104-(CARUARU), COM EXTENSÃO DE 80,10KM.</t>
  </si>
  <si>
    <t>Concorrência Pública 1003/2016</t>
  </si>
  <si>
    <t xml:space="preserve"> EXECUÇÃO DOS SERVIÇOS REMANESCENTES DAS OBRAS DE IMPLANTAÇÃO,
PAVIMENTAÇÃO E RESTAURAÇÃO DA RODOVIA PE -193, TRECHO: ENTR. PE - 180 (SÃO BENTO DO
UNA) /MANIÇOBA/ENTR. BR - 424 (CAETÉS), EXTENSÃO: 39,30KM</t>
  </si>
  <si>
    <t>Concorrência Pública 011/2012</t>
  </si>
  <si>
    <t>Concorrência Pública 7/2010</t>
  </si>
  <si>
    <t xml:space="preserve"> EXECUÇÃO DOS SERVIÇOS DE CONSERVAÇÃO DAS RODOVIAS SOB. JURISDIÇÃO DO 7º
DOD PE'S, 158,170,177,180,187,203,217,218,270,300, ACESSOS E AERODRÓMOS.</t>
  </si>
  <si>
    <t>PL Nº 009/2016 CC Nº 001/2016</t>
  </si>
  <si>
    <t xml:space="preserve">CONTRATAÇÃO DE EMPRESA ESPECIALIZADA PARA CONSTRUÇÃO DE UMA UNIDADE DE EDUCAÇÃO INFANTIL – PROINFÂNCIA TIPO 1, PADRÃO FNDE, NA SEDE DO MUNICÍPIO DE POÇÃO-PE. </t>
  </si>
  <si>
    <t>CONSTRUÇÃO DE COBERTA DE QUADRA GRANDE NO COLÉGIO ANTÔNIO SIMPLÍCIO DE LORENA</t>
  </si>
  <si>
    <t>Tomada de Preço n°004/2012</t>
  </si>
  <si>
    <t>PAVIMENTAÇÃO NO DISTRITO DE POÇO COMPRIDO</t>
  </si>
  <si>
    <t>QUADRA SEDE</t>
  </si>
  <si>
    <t>QUADRA SOCORRO</t>
  </si>
  <si>
    <t>CONSTRUÇÃO DO CEMITÉRIO PUBLICO</t>
  </si>
  <si>
    <t>CONSTRUÇÃO DE COLETORES E RAMIFICADORES</t>
  </si>
  <si>
    <t>TOMADA DE PREÇO N.º 007/2016</t>
  </si>
  <si>
    <t>EXECUÇÃO DE SERVIÇOS DE OBRAS DE ENGENHARIA RELATIVO A CONCLUSÃO DA CONSTRUÇÃO DA COBERTURA DA QUADRA POLIESPORTIVA DO POVOADO DE CARAÍBAS.</t>
  </si>
  <si>
    <t>TP 004/2016 (PROC.035/2016)</t>
  </si>
  <si>
    <t>Contratação de serviço de engenharia de forma indireta para construção de 01 (uma) Creche/Escola – Projeto Pró Infância, Tipo 02, no Loteamento Menino Jesus de Praga, neste município.</t>
  </si>
  <si>
    <t>TP 005/2012 (PROC.024/2012)</t>
  </si>
  <si>
    <t>Pavimentação em Paralelepípedos Graníticos no Loteamento Santo Afonso 2</t>
  </si>
  <si>
    <t>Contratação de serviços na reposição de pavimentação em paralelepipedos nas ruas e avenidas da zona urbana e rural, deste municipio</t>
  </si>
  <si>
    <t>Proc. 009/17 cart. Cov. 002/17</t>
  </si>
  <si>
    <t>CONVITE N.006/2014</t>
  </si>
  <si>
    <t>CONSTRUÇÃO DE UMA ACADEMIA DE SAÚDE EM BARRA DO RIACHÃO</t>
  </si>
  <si>
    <t>TOMADA DE PREÇO 001/20107</t>
  </si>
  <si>
    <t>SERVIÇOS DE PAVIMENTAÇÃO EM PARALELEPÍPEDO EM DIVERSAS RUAS FEM-2014 (20)</t>
  </si>
  <si>
    <t>SERVIÇOS DE CONTRUÇÃO DE SISTERNA PARA ABASTECIMENTO DAGUA DA ESCOLA JOÃO FRANCISCO DE MELO (22)</t>
  </si>
  <si>
    <t xml:space="preserve"> PAVIMENTAÇÃO E DRENAGEM EM DIVERSAS RUAS DE SÃO LOURENÇO DA MATA</t>
  </si>
  <si>
    <t xml:space="preserve"> REFORMA DO CAMPO DE FUTEBOL</t>
  </si>
  <si>
    <t>CONSTRUÇÃO DA PEC MODELO M2</t>
  </si>
  <si>
    <t>OBRAS DE CONTENÇÃO DE ENCOSTAS EM AREAS DE RISCO EM SÃO LOURENÇO DA MATA MCMV</t>
  </si>
  <si>
    <t>REFORMA E MODERNIZAÇÃO GINASIO DE ESPORTE - O PEREIRÃO  - NO MUNICIPIO DE SÃO LOURENÇO DA MATA/PE.</t>
  </si>
  <si>
    <t>URBANIZAÇÃO DAS CALÇADAS NA PE-005 TRECHO ENTRE A UPA E O MERCADOPUBLICO DE TIUMA ,NO BAIRRO DE TIUMA NO MUNICIPIO DE SÃO LOURENÇO DA MATA</t>
  </si>
  <si>
    <t>APOIO A PROJETO DE INFRAESTRUTURA TURISTICA REVITALIZAÇAO E IMPLEMENTAÇAO DA PRAÇA DR. ARAUJO SOBRINHO</t>
  </si>
  <si>
    <t>RECAPEAMENTO ASFALTICO E SINALIZAÇAO DE DIVERSAS RUAS DA PARQUE CAPIBARIBE NO MUNICIPIO DE SÃO LOURENÇO DA MATA</t>
  </si>
  <si>
    <t>RECAPEAMENTO ASFALTICO E SINALIZAÇAO DE DIVERSAS RUAS DESTE MUNICIPIO</t>
  </si>
  <si>
    <t>APOIO A PROJETO DE INFRAESTRUTURA TURISTICA: CONSTRUÇÃO DO CENTRO DE CULTURA E INFOMAÇÕES TURISTICAS.</t>
  </si>
  <si>
    <t>URBANIZAÇAO DAS CALÇADAS DO CENTRO DO MUNICIPIO DE SÃO LOURENÇO DA MATA</t>
  </si>
  <si>
    <t>REFORMA DO MERCADO DE TIÚMA</t>
  </si>
  <si>
    <t>REFORMA DO PATIO DA FEIRA AMARO ALVES</t>
  </si>
  <si>
    <t>CONSTRUÇAO DE UPINHA MATRIZ DA LUZ</t>
  </si>
  <si>
    <t>URBANIZAÇÃO DE CALÇADAS (FEM 2014)</t>
  </si>
  <si>
    <t>CONSTRUÇAO DO CENTRO MULTICULTURAL</t>
  </si>
  <si>
    <t>CONSTRUÇAO DE UPINHA IMPERIAL</t>
  </si>
  <si>
    <t>RDC nº 01/2014</t>
  </si>
  <si>
    <t xml:space="preserve">Construções de Unidades Básicas de Saúde (UBS) COHAB, Vila Siriji, Alto da Igreja, Recreio e Engº -Patos Siriji, LOTE 1. </t>
  </si>
  <si>
    <t xml:space="preserve">Construção de Quadra Coberta no Anexo da Escola Dr.Manoel Borba- LOTE 1 </t>
  </si>
  <si>
    <t>Construção de Muradas nas Creches Tipo B e Tipo C</t>
  </si>
  <si>
    <t xml:space="preserve">Abastecimento d'água no Distrito de Albuquerque Né e Povoado Waldemar Siqueira </t>
  </si>
  <si>
    <t>Conclusão da construção da Academia da Saúde Cruzeiro do Nordeste</t>
  </si>
  <si>
    <t>Concorrência Nº 02/2015</t>
  </si>
  <si>
    <t>Construção do Bloco Padrão "B"Pilotis +Tres Pavimentos de Salas de Aula e Laboratorios no Campus da UPE em Garanhuns</t>
  </si>
  <si>
    <t>SECRETARIA EXECUTIVA DE PROJETOS ESPECIAS</t>
  </si>
  <si>
    <t>CC 002/2012 CPL</t>
  </si>
  <si>
    <t xml:space="preserve"> CONTRATO Nº014/2016</t>
  </si>
  <si>
    <t>J Benevides da Silva Eireli- EPP</t>
  </si>
  <si>
    <t xml:space="preserve">JV Silva Engenharia Ltda </t>
  </si>
  <si>
    <t>GT Engenharia Ltda - ME</t>
  </si>
  <si>
    <t>Obra Cancelada - Recurso devolvido ao FNDE</t>
  </si>
  <si>
    <t>04.735.888/0001-61</t>
  </si>
  <si>
    <t>W.LOPES  - 05.275.604/0001-64
 SBM - 02.908.931/0001-18</t>
  </si>
  <si>
    <t>GR INDUTRIAL LTDA - EPP</t>
  </si>
  <si>
    <t>0022/2016-SEE</t>
  </si>
  <si>
    <t>Enseada Construções e Serviços LTDA</t>
  </si>
  <si>
    <t>0108/2015-SEE</t>
  </si>
  <si>
    <t>Latache Engenharia LTDA</t>
  </si>
  <si>
    <t>0257/2015-SEE</t>
  </si>
  <si>
    <t>Construtora Venâncio</t>
  </si>
  <si>
    <t>0028/2013-SEE</t>
  </si>
  <si>
    <t>0193/2015-SEE</t>
  </si>
  <si>
    <t>Programa Emergencial de Reestruturação da Rede Física - Resolução CD/FNDE nº 23/2010</t>
  </si>
  <si>
    <t>Construtora Torreão Villarim LTDA</t>
  </si>
  <si>
    <t>0164/2014-SEE</t>
  </si>
  <si>
    <t>0166/2014-SEE</t>
  </si>
  <si>
    <t>Plínio Cavalcanti e Cia LTDA</t>
  </si>
  <si>
    <t>0142/2015-SEE</t>
  </si>
  <si>
    <t>10.996.627/0001-07</t>
  </si>
  <si>
    <t>0168/2014-SEE</t>
  </si>
  <si>
    <t>0234/2014-SEE</t>
  </si>
  <si>
    <t>41.203.514/0001-23</t>
  </si>
  <si>
    <t>0169/2014-SEE</t>
  </si>
  <si>
    <t>Sirius Construções Comércio e Representações LTDA</t>
  </si>
  <si>
    <t>0061/2016-SEE</t>
  </si>
  <si>
    <t>016/2016 - SJDH</t>
  </si>
  <si>
    <t>07.738.830/0001-60</t>
  </si>
  <si>
    <t>CONFIG ENGENHARIA LTDA</t>
  </si>
  <si>
    <t>004/2017 – SJDH</t>
  </si>
  <si>
    <t>ABF Engenharia, Serviços e Comércio Ltda</t>
  </si>
  <si>
    <t>15.234.085/0001-40</t>
  </si>
  <si>
    <t>LC. Araújo Engenharia e Construções Ltda-EPP</t>
  </si>
  <si>
    <t>025-17</t>
  </si>
  <si>
    <t>12.721.248/0002-01</t>
  </si>
  <si>
    <t>Engetela Comercio e Serviços EIRELI-ME</t>
  </si>
  <si>
    <t>039-17</t>
  </si>
  <si>
    <t>0233.397-05/2007</t>
  </si>
  <si>
    <t>AC QUEIROZ CONSTRUÇÕES EIRELI EPP</t>
  </si>
  <si>
    <t>0250.274-83/2008</t>
  </si>
  <si>
    <t xml:space="preserve">WM CONSTRUÇÕES E INCIPORAÇÕES LTDA </t>
  </si>
  <si>
    <t>0301.544-37/2009</t>
  </si>
  <si>
    <t>MOTTA CONSTRUÇÕES E EMPREENDIMENTOS LTDA</t>
  </si>
  <si>
    <t>0250.308-87/2008</t>
  </si>
  <si>
    <t>0233.406-18/2007</t>
  </si>
  <si>
    <t>S.A. LOCAÇÕES, CONSTRUÇÕES E SERVIÇOS LTDA</t>
  </si>
  <si>
    <t>0250.286-26/2008</t>
  </si>
  <si>
    <t>DINIZ  J. DE A. LINS ENGENHARIA</t>
  </si>
  <si>
    <t>0233.408-36/2007</t>
  </si>
  <si>
    <t>02.349.757/0001-10</t>
  </si>
  <si>
    <t>ACCOCIL CONSTRUÇÕES, LOCAÇÕES EIRELI</t>
  </si>
  <si>
    <t>CT. OS .14.6.295</t>
  </si>
  <si>
    <t>CT. OS. 15.6.094</t>
  </si>
  <si>
    <t>CONSTRUTORA DOIS IRMAOS LTDA - EPP</t>
  </si>
  <si>
    <t>CT. OS. 17.6.162</t>
  </si>
  <si>
    <t>CT.OS 17.5.006</t>
  </si>
  <si>
    <t>CT.OS 17.6.010</t>
  </si>
  <si>
    <t>CT.OS. 14.6.070</t>
  </si>
  <si>
    <t>376.732-99</t>
  </si>
  <si>
    <t>CT.OS. 14.6.315</t>
  </si>
  <si>
    <t>CT.OS. 15.6.083</t>
  </si>
  <si>
    <t>CT.OS. 16.6.153</t>
  </si>
  <si>
    <t>CT.OS. 17.6.001</t>
  </si>
  <si>
    <t>296.161-90</t>
  </si>
  <si>
    <t>CT.OS.13.6.107</t>
  </si>
  <si>
    <t>376.513-44</t>
  </si>
  <si>
    <t>CT.OS.15.6.038</t>
  </si>
  <si>
    <t>CT.OS.16.6.161</t>
  </si>
  <si>
    <t>CT.OS.16.6.174</t>
  </si>
  <si>
    <t>376.447-31</t>
  </si>
  <si>
    <t>CT.OS.16.6.220</t>
  </si>
  <si>
    <t>CT.OS.17.5.008</t>
  </si>
  <si>
    <t>CT.OS.17.5.102</t>
  </si>
  <si>
    <t>CT.OS.17.6.055</t>
  </si>
  <si>
    <t>FALCAO ENGENHARIA LTDA - EPP</t>
  </si>
  <si>
    <t>CT.OS.17.6.058</t>
  </si>
  <si>
    <t>CT.OS.17.6.101</t>
  </si>
  <si>
    <t>18.603.461/0001-14</t>
  </si>
  <si>
    <t>MARQUES ANDRADE ENGENHARIA LTDA</t>
  </si>
  <si>
    <t>CT.OS.17.6.182</t>
  </si>
  <si>
    <t>CT.OS.17.6.185</t>
  </si>
  <si>
    <t>0.015.00-2011</t>
  </si>
  <si>
    <t>CT.PS. 12.6.368</t>
  </si>
  <si>
    <t>CT.PS. 16.6.216</t>
  </si>
  <si>
    <t>10.2.0516.1</t>
  </si>
  <si>
    <t xml:space="preserve">                             -  </t>
  </si>
  <si>
    <t>CT.OS.10.5.204</t>
  </si>
  <si>
    <t xml:space="preserve">RIO UNA SERVIÇOS GERAIS LTDA </t>
  </si>
  <si>
    <t>CT.PS.15.5.114</t>
  </si>
  <si>
    <t>ÁGIL EMPRENDIMENTOS E SERVIÇOS- EIRELI-EPP</t>
  </si>
  <si>
    <t>29,2016</t>
  </si>
  <si>
    <t>05.379.701/0001-05</t>
  </si>
  <si>
    <t>EGS ELEVADORES EIRELI-EPP</t>
  </si>
  <si>
    <t>037,2016</t>
  </si>
  <si>
    <t>....</t>
  </si>
  <si>
    <t>WM CONSTRUÇÕES E INCORPORAÇÕES LTDA - EPP</t>
  </si>
  <si>
    <t>028/2017-DCC</t>
  </si>
  <si>
    <t xml:space="preserve"> 0010/17</t>
  </si>
  <si>
    <t>0067/10</t>
  </si>
  <si>
    <t>GOVERNO FEDERAL – MINISTÉRIO DA EDUCAÇÃO FNDE/MEC</t>
  </si>
  <si>
    <t>6999/2013</t>
  </si>
  <si>
    <t>J. RODRIGUES BEZERRA SERVIÇOS EIRELI-EPP</t>
  </si>
  <si>
    <t>10744/2014</t>
  </si>
  <si>
    <t>08/05/2012</t>
  </si>
  <si>
    <t>1.288.750,66</t>
  </si>
  <si>
    <t>CONSTRUTORA E LOCADORA NOBERTO MACEDO LTDA - ME</t>
  </si>
  <si>
    <t>7855/2014</t>
  </si>
  <si>
    <t>DB CONSTRUCOES INDUSTRIA COMERCIO E SERVICO DE MAO DE OBRA LTDA</t>
  </si>
  <si>
    <t>5767/2013</t>
  </si>
  <si>
    <t>BRAÇO FORTE E CONSTRUÇÃO E SERVIÇOS LTDA</t>
  </si>
  <si>
    <t>Fundo Nacional de Desenvolvimento da Educação (FNDE-MEC)</t>
  </si>
  <si>
    <t xml:space="preserve"> PAC2 7732/2013</t>
  </si>
  <si>
    <t>J. RODRIGUES BEZERRA SERVIÇOS EIRELI – EPP</t>
  </si>
  <si>
    <t>754615/2010</t>
  </si>
  <si>
    <t>Construtora Santos &amp; Lima Ltda EPP</t>
  </si>
  <si>
    <t>FUNDO A FUNDO/MINISTÉRIO DA SAÚDE</t>
  </si>
  <si>
    <t>PROPOSTA 10476556000113006</t>
  </si>
  <si>
    <t>PERNAMBUCO LOGISTICA EMPREENDIMENTOS LTDA - ME</t>
  </si>
  <si>
    <t>MUNISTERIO DO TURISMO</t>
  </si>
  <si>
    <t xml:space="preserve"> 019708/2017</t>
  </si>
  <si>
    <t>020066/2017</t>
  </si>
  <si>
    <t>MINISTERIO DOS ESPORTES</t>
  </si>
  <si>
    <t>363430-67</t>
  </si>
  <si>
    <t xml:space="preserve">MINISTERIO DA CULTURA </t>
  </si>
  <si>
    <t>351546-7</t>
  </si>
  <si>
    <t>368546-69</t>
  </si>
  <si>
    <t xml:space="preserve">MINISTERIO DE ESPORTE </t>
  </si>
  <si>
    <t>1030153-54</t>
  </si>
  <si>
    <t>1009634-99</t>
  </si>
  <si>
    <t>373397-68</t>
  </si>
  <si>
    <t>1003495-74</t>
  </si>
  <si>
    <t>1035309-25</t>
  </si>
  <si>
    <t>SECRETARIA DE PLANEJAMENTO GOVERNO DE PE</t>
  </si>
  <si>
    <t>05.494.354/0001-53, 07.432.457/0001-14</t>
  </si>
  <si>
    <t>NCE ENGENHARIA LTDA</t>
  </si>
  <si>
    <t>PAC 201483/11</t>
  </si>
  <si>
    <t>113008/2013</t>
  </si>
  <si>
    <t>782788/2013</t>
  </si>
  <si>
    <t>Construtora Paulista Ltda.EPP</t>
  </si>
  <si>
    <t>Depende da OS. (03 meses)</t>
  </si>
  <si>
    <t>12/04/2017 À 12/07/2017</t>
  </si>
  <si>
    <t>4.4</t>
  </si>
  <si>
    <t>  169.903,77</t>
  </si>
  <si>
    <t>Obra distratada com a construtora vencedora do certame por falta de capacidade técnica. O saldo do recurso será devolvido ao FNDE</t>
  </si>
  <si>
    <t>    229.310,50</t>
  </si>
  <si>
    <t>Obra distratada com a construtora vencedora do certame por falta de capacidade técnica. Estamos realizando nova licitação</t>
  </si>
  <si>
    <t>    60.919,25</t>
  </si>
  <si>
    <t xml:space="preserve">Solicitado Prorrogação de Prazo do Convênio e Contrato encerrado </t>
  </si>
  <si>
    <t>22/07/2017</t>
  </si>
  <si>
    <t>Concluída em check list - termo de Entrega Provisória</t>
  </si>
  <si>
    <t>Concluída em check list - termo de entrega provisório</t>
  </si>
  <si>
    <t>Concluída com Termo de Entrega Definitiva</t>
  </si>
  <si>
    <t xml:space="preserve"> 23/12/2016</t>
  </si>
  <si>
    <t xml:space="preserve"> 11/11/2016</t>
  </si>
  <si>
    <t xml:space="preserve"> 30/03/2017</t>
  </si>
  <si>
    <t>TERMO DE PARALISAÇÃO 28/08/2016- data de reinício  29/03/2017</t>
  </si>
  <si>
    <t>obra concluida Aguardando recebimento do 3 BM no valor de R$ 81.179,77</t>
  </si>
  <si>
    <t>15/12/2017*</t>
  </si>
  <si>
    <t>Finalizado (Distrato)</t>
  </si>
  <si>
    <t>R$ 392.678,56</t>
  </si>
  <si>
    <t>Inacabada. Empresa notificada pela inexecução.</t>
  </si>
  <si>
    <t>R$ 141.415,08</t>
  </si>
  <si>
    <t>Inacabada. Empresa notificada para concluir as descidas de água e corrigir falhas construtivas.</t>
  </si>
  <si>
    <t>R$ 111.597,34</t>
  </si>
  <si>
    <t>Inacabada. Não foi possível executar a pista de desaceleração do lado oposto da via em virtude de área não desapropriada.</t>
  </si>
  <si>
    <t>Rescisão em 15/03/2017</t>
  </si>
  <si>
    <t>Rescisão em 19/01/2017</t>
  </si>
  <si>
    <t>Rescisão em 03/04/2017</t>
  </si>
  <si>
    <t>Rescisão em 19/04/2017</t>
  </si>
  <si>
    <t>12/12/2017 - T.A. em tramitação - 12/06/2018</t>
  </si>
  <si>
    <t xml:space="preserve">                          -  </t>
  </si>
  <si>
    <t xml:space="preserve">                               -</t>
  </si>
  <si>
    <t>15/08/2014 (Paralisação) 01/10/2015 (Paralisação) 01/12/2016 (Paralisação) 01/07/2017 (Paralisação) 26/07/2014 (Conclusão)</t>
  </si>
  <si>
    <t>01/11/2015 (Paralisação) 10/08/2016 (Paralisação) 24/02/2016 (Conclusão)</t>
  </si>
  <si>
    <t>17/10/2016 (Paralisado) 29/07/2016 (Conclusão)</t>
  </si>
  <si>
    <t>01/12/2017 (Partalisação) 28/11/2017 (Conclusão)</t>
  </si>
  <si>
    <t>16/10/2014 (Paralisação) 31/10/2017 (Paralisação) 21/06/2014  (Conclusão)</t>
  </si>
  <si>
    <t>03/08/2012 (Conclusão)</t>
  </si>
  <si>
    <t xml:space="preserve"> 44.90.51.00 </t>
  </si>
  <si>
    <t>2° TA</t>
  </si>
  <si>
    <t xml:space="preserve">PARALISADO </t>
  </si>
  <si>
    <t xml:space="preserve"> 44.90.51 - Obras e Instalações </t>
  </si>
  <si>
    <t>Em elaboração de projetos</t>
  </si>
  <si>
    <t>CONTRATO ENCERRADO.</t>
  </si>
  <si>
    <t>EM ELABORAÇÃO PLANILHA DO SALDO A LICITAR E ELABORAÇÃO DE NOVA PLANILHA DE SERVIÇOS DANIFICADOS</t>
  </si>
  <si>
    <t>SOLICITADO A CAIXA O ENCERRAMENTO DO CONTRATO COM FUNCIONABILIDADE</t>
  </si>
  <si>
    <t>À LICITAR</t>
  </si>
  <si>
    <t>CLÁUSULA SUSPENSIVA ENCERRADA, CONTRATO ANULADO</t>
  </si>
  <si>
    <t>PARALIZADO / CONTRATO ENCERRADO (AGUARDANDO A PRESTAÇÃO DE CONTAS)</t>
  </si>
  <si>
    <t>EM PRESTAÇÃO DE CONTAS</t>
  </si>
  <si>
    <t>CLÁSULA SUSPENSIVA ENCERRADA, CONTRATO ANULADO</t>
  </si>
  <si>
    <t>EM ATENDIMENTO AS PENDÊNCIAS DA SECID</t>
  </si>
  <si>
    <t>CONTRATO COM A EMPRESA ENCERRADO</t>
  </si>
  <si>
    <t xml:space="preserve"> 1545203272.269 - MANUTENÇÃO E ILUMINAÇÃO PÚBLICA </t>
  </si>
  <si>
    <t>Recisão Amigavel</t>
  </si>
  <si>
    <t>Informações Incompletas. Falta valor contratado.</t>
  </si>
  <si>
    <t>Apresentou valores incoerentes na casa de bilhão de reais.</t>
  </si>
  <si>
    <t>Informações Incompletas. Falta valor contratado e pago acumulado.</t>
  </si>
  <si>
    <t>Falta descrição dos serviços.</t>
  </si>
  <si>
    <t>Informações Incompletas. Falta valor contratado e descrição da obra.</t>
  </si>
  <si>
    <t>Inex n°009/2013</t>
  </si>
  <si>
    <t>Contratação de empresa de engenharia especializada e conservação e manutenção de pavimentação com injeção mecanizada de material betuminoso por spray, em diversos locais  do municipio de Abreu e Lima/PE.</t>
  </si>
  <si>
    <t>12.104.831/0001-92</t>
  </si>
  <si>
    <t>ECO TECH Engenharia Ltda</t>
  </si>
  <si>
    <t>200/2013</t>
  </si>
  <si>
    <t>28 MESES</t>
  </si>
  <si>
    <t>A obra foi encerrada pois não havia interesse de continuidade dos serviços.</t>
  </si>
  <si>
    <t>Reforma de diversas escolas localizadas em diversos bairros da área Urbana</t>
  </si>
  <si>
    <t>Atlanta Comércio e Serviço, Importação e Exportação Ltda - ME</t>
  </si>
  <si>
    <t>Identificada paralisada em 2016</t>
  </si>
  <si>
    <t>36 MESES</t>
  </si>
  <si>
    <t>00.431.082/0001-29</t>
  </si>
  <si>
    <t>DALL-  Engenharia e Setviços Ltda-EPP</t>
  </si>
  <si>
    <t xml:space="preserve">Reforma das Escolas em diversos locais da área Rural -  Lote I e II </t>
  </si>
  <si>
    <t>Drenagem em deversos Bairros do Município de Abreu e Lima</t>
  </si>
  <si>
    <t>17.109.678/0001-00</t>
  </si>
  <si>
    <t>Pilar Participações e Locações Eirelii -ME</t>
  </si>
  <si>
    <t>Execução das obras de drenagem em diversos bairros no município de Abreu e Lima/PE.</t>
  </si>
  <si>
    <t>EUS Construções e Serviços Ltda</t>
  </si>
  <si>
    <t>156/2012</t>
  </si>
  <si>
    <t>07/2015</t>
  </si>
  <si>
    <t>071/2015</t>
  </si>
  <si>
    <t>Execução de obra de construção de escadarias em diversos bairros do municipio de Abreu e Lima/PE.</t>
  </si>
  <si>
    <t>07.360.005/001-74</t>
  </si>
  <si>
    <t>Construtora F &amp; Costa ltda- ME</t>
  </si>
  <si>
    <t>223/2013</t>
  </si>
  <si>
    <t>Execução de obra de construção de canaletas em diversos bairros do municipio de Abreu e Lima/PE.</t>
  </si>
  <si>
    <t>235/2013</t>
  </si>
  <si>
    <t>Convite nº 028/2014</t>
  </si>
  <si>
    <t>Reforma do Estacionamento da Sede da Prefeitura do Município de Abreu e Lima</t>
  </si>
  <si>
    <t>01.771.620/0001-97</t>
  </si>
  <si>
    <t>Leôncio Construções Ltda - EPP</t>
  </si>
  <si>
    <t>218/2014</t>
  </si>
  <si>
    <t>M.M.Serviços e Empreendimentos Eireli - ME</t>
  </si>
  <si>
    <t>Convite nº 007/2016</t>
  </si>
  <si>
    <t>Eficientização em Parque de Iluminação Pública, com Software e Telesistemas de Comunicação com Acesso da Comunidade Por 0800, no Municípo de Abreu e Lima/PE.</t>
  </si>
  <si>
    <t>Convite nº 009/2016</t>
  </si>
  <si>
    <t>Recuperação do Sistema de Drenagem em Diversos Bairros, no Município de Abreu e Lima/PE</t>
  </si>
  <si>
    <t>a iniciar</t>
  </si>
  <si>
    <t>Execução de Obras de reposição de placas de galeria em diversos locais do municipio de Abreu e Lima/PE.</t>
  </si>
  <si>
    <t>J.G. Engenharia e Construção Ltda-ME</t>
  </si>
  <si>
    <t>184/2013</t>
  </si>
  <si>
    <t>CV nº 009/2014</t>
  </si>
  <si>
    <t>Execução das Obras de Reforma da Academia das Cidades, Caetés I, no município de Abreu e Lima/PE</t>
  </si>
  <si>
    <t>08.877.777/0001-40</t>
  </si>
  <si>
    <t>EDENGE Edificações e Serviços Ltda</t>
  </si>
  <si>
    <t>Convite nº 010/2016</t>
  </si>
  <si>
    <t>Recuperação da Coberta do Mercado Público, no Município de Abreu e Lima/PE</t>
  </si>
  <si>
    <t>CV n° 018/2013</t>
  </si>
  <si>
    <t>Construção de canaletas nas ruas 131 e 162, Caetes I, no municipio de  Abreu e Lima/PE.</t>
  </si>
  <si>
    <t>114/2013</t>
  </si>
  <si>
    <t>2016</t>
  </si>
  <si>
    <t>PAGO</t>
  </si>
  <si>
    <t>PERFURAÇÃO DE POÇOS REFERENTE AO CONTRATO 036/2016 DO MUNICÍPIO DE CUSTÓDIA</t>
  </si>
  <si>
    <t>11.358.165/0001-56</t>
  </si>
  <si>
    <t>PREFEITURA MUNICIPAL DE CUSTÓDIA</t>
  </si>
  <si>
    <t>180 dias</t>
  </si>
  <si>
    <t>450 dias</t>
  </si>
  <si>
    <t>480 dias</t>
  </si>
  <si>
    <t>CONSTRUÇÃO DE TRÊS ESCOLAS NOS POVOADOS DE BARRA DAS MELANCIAS, POÇÃO E CACHOEIRA DO ROBERTO</t>
  </si>
  <si>
    <t>17561/2013</t>
  </si>
  <si>
    <t>CONCORRENCIA 001/06</t>
  </si>
  <si>
    <t>IMPLANTAÇÃO DO SISTEMA DE ESGOTAMENTO SANITÁRIO NA SEDE DO MUNICIPIO</t>
  </si>
  <si>
    <t>0.00.06.0024/00</t>
  </si>
  <si>
    <t>070860880001-55</t>
  </si>
  <si>
    <t>SOLO CONSTRUÇÕES E TERRAPLANAGEM LTDA.</t>
  </si>
  <si>
    <t>002/07</t>
  </si>
  <si>
    <t>12.212.426/0001-98</t>
  </si>
  <si>
    <t>ESTRELA CONSTRUÇÕES E SERVIÇOS LTDA ME</t>
  </si>
  <si>
    <t>07.199.546/0001-62</t>
  </si>
  <si>
    <t>AB ENGENHARIA LTDA</t>
  </si>
  <si>
    <t>TP 07/14</t>
  </si>
  <si>
    <t>IMPLANTAÇÃO DE PAVIMENTAÇÃO EM PARALELEPIPEDOS GRANITICOS EM VIAS URBANAS NA SEDE DO MUNICIPIO.</t>
  </si>
  <si>
    <t>SEPLAG - SECRETARIA DE PLANEJAMENTO E GESTÃO.</t>
  </si>
  <si>
    <t>09.409.476/0001-55</t>
  </si>
  <si>
    <t>APIS CONSULTORIA ASS. E PROJETOS LTDA</t>
  </si>
  <si>
    <t>120/2014</t>
  </si>
  <si>
    <t>RM CONSTRUÇÕES LTDA ME</t>
  </si>
  <si>
    <t>TP 03/08</t>
  </si>
  <si>
    <t>REFORMA DE CASAS NO INTERIOR DO MUNICIPIO.</t>
  </si>
  <si>
    <t>0726//2007</t>
  </si>
  <si>
    <t>06.061.013/0001-57</t>
  </si>
  <si>
    <t>JK ENGENHARIA E ARQUITETURA LTDA</t>
  </si>
  <si>
    <t>044/08</t>
  </si>
  <si>
    <t>TP 01/2015</t>
  </si>
  <si>
    <t>AMPLIAÇÃO DE 04 UNIDADES BÁSICAS DE SAÚDE NOS POVOADOS DE BARRA DA MELANCIAS, CACHOEIRA DO ROBERTO, POÇÃO E E EXTREMA NO INTERIOR DO MUNICIPIO.</t>
  </si>
  <si>
    <t>06111891000113001/2013</t>
  </si>
  <si>
    <t>TP 02/2015</t>
  </si>
  <si>
    <t>CONSTRUÇÃO DE PAVIMENTAÇÃO EM PARALELEPIPEDOS GRANITICOS EM RUAS DO POVOADO DE EXTREMA INTERIOR DO MUNICIPIO.</t>
  </si>
  <si>
    <t>1025969-98</t>
  </si>
  <si>
    <t>70/2016</t>
  </si>
  <si>
    <t>CONSTRUÇÃO DE 25 UNIDADES DE MELHORIAS SANITÁRIAS DOMICILIARES NOS POV. DE SERRA GRANDE DO POÇÃO, BAIXA DA CRUZ E MORRO BRANCO INTERIOR DO MUNICIPIO</t>
  </si>
  <si>
    <t>CONVÊNIO Nº 0144/2014</t>
  </si>
  <si>
    <t>MS – FUNASA</t>
  </si>
  <si>
    <t>NOVE ENGENHARIA LTDA EPP</t>
  </si>
  <si>
    <t>64/2016</t>
  </si>
  <si>
    <t>TP 07/2013</t>
  </si>
  <si>
    <t>CONSTRUÇÃO DE UM POSTO DE SAÚDE NO BAIRRO ROBERTO LUIZ</t>
  </si>
  <si>
    <t>06111891000/1100-02</t>
  </si>
  <si>
    <t>130/2013</t>
  </si>
  <si>
    <t>CONSTRUÇÃO DE ACADEMIA DA SAUDE NO BAIRRO JOSE RAMOS</t>
  </si>
  <si>
    <t>10358174000/1120-01</t>
  </si>
  <si>
    <t>131/2013</t>
  </si>
  <si>
    <t>12.212.426/0001/98</t>
  </si>
  <si>
    <t>ESTRELA CONSTRUÇÕESRV. LTDA</t>
  </si>
  <si>
    <t>132/2013</t>
  </si>
  <si>
    <t>TP 03/2016</t>
  </si>
  <si>
    <t>CONSTRUÇÃO/CONCLUSÃO DA ESCOLA NO SÍTIO ARAÇÁ</t>
  </si>
  <si>
    <t>Ref. Ampl. Escolas Biblioteca e Quadra</t>
  </si>
  <si>
    <t xml:space="preserve"> 17.376.546/0001-44</t>
  </si>
  <si>
    <t>Construção de 02 quadras</t>
  </si>
  <si>
    <t>202368/2011</t>
  </si>
  <si>
    <t>10.999.448/0001-14</t>
  </si>
  <si>
    <t>T &amp; S Engenharia Ltda</t>
  </si>
  <si>
    <t>072/2013</t>
  </si>
  <si>
    <t>PE 004/2013</t>
  </si>
  <si>
    <t>Contratação Horas Máquina</t>
  </si>
  <si>
    <t>02.386.961/0001-01</t>
  </si>
  <si>
    <t>Armando José Cavalcante</t>
  </si>
  <si>
    <t>12A-INFRA</t>
  </si>
  <si>
    <t>CV 017/2014</t>
  </si>
  <si>
    <t>Revitalização, Manutenção e/ou Ampliação de 12 Escolas</t>
  </si>
  <si>
    <t>07 - INFRA</t>
  </si>
  <si>
    <t>11.507.298/0001-47</t>
  </si>
  <si>
    <t>14 - INFRA</t>
  </si>
  <si>
    <t>CV 007/2015</t>
  </si>
  <si>
    <t>Horas máquina para extração de material e Limpeza de Barragens</t>
  </si>
  <si>
    <t>Revit. Praça Pedro Alcântara</t>
  </si>
  <si>
    <t>CV 018/2014</t>
  </si>
  <si>
    <t>Reforma e Ampliação das Agências Comunitárias dos Correios</t>
  </si>
  <si>
    <t>10.570.642/0001-80</t>
  </si>
  <si>
    <t>240 DIAS</t>
  </si>
  <si>
    <t>PR: 075/2013 2º TA</t>
  </si>
  <si>
    <t xml:space="preserve">Contratação de Empresa de Engenharia para Reforma e Ampliação de Diversas Escolas da Rede Municipal de Ensino.   </t>
  </si>
  <si>
    <t>Construmar - Construtora Marivan LTDA.</t>
  </si>
  <si>
    <t xml:space="preserve">NORDESTE CONSTRUÇÕES INSTALAÇÕES E LOCAÇÕES LTDA </t>
  </si>
  <si>
    <t>PR: 041/2014</t>
  </si>
  <si>
    <t>Contratação de Empresa de Engenharia para Construção da Unidade Básica de Saúde da Família, localizado no Sitio Peba, Zona Rural de Águas Belas -PE.</t>
  </si>
  <si>
    <t xml:space="preserve">PR: 029/2016 </t>
  </si>
  <si>
    <t xml:space="preserve">Contratação de Empresa de Engenharia para Pavimentação em Paralelepipedos granitico das Ruas Gregório Bezerra e Santa Luzia no Distrito de Tanquinhos, Zona Rural deste municipio. </t>
  </si>
  <si>
    <t>4.4.91.51</t>
  </si>
  <si>
    <t xml:space="preserve">PR: 031/2016 </t>
  </si>
  <si>
    <t xml:space="preserve">Contratação de Empresa de Engenharia para Construção de Galerias e Reposição de Calçamentos em diversas ruas deste municipio.  </t>
  </si>
  <si>
    <t>180 DIAS</t>
  </si>
  <si>
    <t>CONSTRUTORA INHUMAS LTDA</t>
  </si>
  <si>
    <t>360 DIAS</t>
  </si>
  <si>
    <t>CONSTRUÇÃO DE UMA QUADRA COBERTA NO BAIRRO DO ROSÁRIO.</t>
  </si>
  <si>
    <t>10.997.35 5/0001-50</t>
  </si>
  <si>
    <t>CONSTRUTOA BARBOSA &amp; LIMA TODA</t>
  </si>
  <si>
    <t>155/2011</t>
  </si>
  <si>
    <t>Obra em andamento.</t>
  </si>
  <si>
    <t>MANUTENÇÃO, REFORMA E AMPLIAÇÃO E PINTURA DE ALGUMAS ESCOLAS E PRÉDIOS DE OCUPAÇÃO PÚBLICA -ALIANÇA-PE</t>
  </si>
  <si>
    <t>xxxxx</t>
  </si>
  <si>
    <t>10.510.7 35/0001- 19</t>
  </si>
  <si>
    <t>Construtora Batista e Vasconcelos Ltda</t>
  </si>
  <si>
    <t>118/2014</t>
  </si>
  <si>
    <t>TOMADA DE PREÇOS Nº 001/2015</t>
  </si>
  <si>
    <t>600 DIAS</t>
  </si>
  <si>
    <t>FNDE / PRÓ-INFÂNCIA</t>
  </si>
  <si>
    <t>TOMADA DE PREÇOS 01/2014</t>
  </si>
  <si>
    <t>CONSTRUÇÃO DO POSTO DE SAUDE DE RECANDO DOS PASSAROS E JOÃO PAULO II</t>
  </si>
  <si>
    <t>SISMOB</t>
  </si>
  <si>
    <t>FUNDO A FUNDO MINISTÉRIO DA SAUDE</t>
  </si>
  <si>
    <t>03/2014</t>
  </si>
  <si>
    <t>DISPENSA N°02/2012</t>
  </si>
  <si>
    <t>CONSTRUÇÃO DE UMA CRECHE TIPO C NA LOCALIDADE DE DEMARCAÇÃO</t>
  </si>
  <si>
    <t>202974/2012</t>
  </si>
  <si>
    <t>L2 - SERVIÇOS TÉCNICOS DE METALURGIA,  E PINTURA LTDA - EPP</t>
  </si>
  <si>
    <t>31/02/2014</t>
  </si>
  <si>
    <t>RECISÃO E LICITADA O SALDO</t>
  </si>
  <si>
    <t>TOMADA DE PREÇOS 01/2013</t>
  </si>
  <si>
    <t>TOMADA DE PREÇOS 01/2016</t>
  </si>
  <si>
    <t>CONSTRUÇÃO DE UMA CRECHE TIPO C (CONCLUSÃO)</t>
  </si>
  <si>
    <t>SS CONSTRUÇÃO EIRELI - EPP</t>
  </si>
  <si>
    <t>TOMADA DE PREÇOS 02/2015</t>
  </si>
  <si>
    <t>CONSTRUÇÃO DA CRECHE TIPO C NA LOCALIDADE DE DEMARCAÇÃO</t>
  </si>
  <si>
    <t>13.765.391/0001-21</t>
  </si>
  <si>
    <t>RL - SERVIÇOS EM GESTÃO DE OBRA E CONSULTORIA LTDA - ME</t>
  </si>
  <si>
    <t>11.468.612/0001-20</t>
  </si>
  <si>
    <t>JAWALTER CONSTRUÇÕES LTDA</t>
  </si>
  <si>
    <t>CONVITE N?. 01/2015</t>
  </si>
  <si>
    <t>CONSTRUÇÃO DO CALÇADÃO DO CLUBE MUNICIPAL DE AMARAJI</t>
  </si>
  <si>
    <t>14.892.347/0001-09</t>
  </si>
  <si>
    <t>LIMPEZA E OBRAS TIMBAUBA LTDA-ME</t>
  </si>
  <si>
    <t>02/2015</t>
  </si>
  <si>
    <t>AMPLIAÇÃO DE POSTOS DE SAUDE</t>
  </si>
  <si>
    <t>01/2014</t>
  </si>
  <si>
    <t>TOMADA DE PREÇO Nº 003/2016 /PROCESSO Nº 026/2016</t>
  </si>
  <si>
    <t>TOMADA DE PREÇO - CONTRATAÇÃO DE EMPRESA DE ENGENHARIA DOS SERVIÇOS DE PAVIMENTAÇÃO COM PEDRA DE PARALELEPÍPEDO E DRENAGEM EM 13 RUAS. FEM III 2015. CONVENIO SEPLAG.</t>
  </si>
  <si>
    <t>12/12/2016 - PARALISADA</t>
  </si>
  <si>
    <t>60 DIAS</t>
  </si>
  <si>
    <t>OBRA EM EXECUÇÃO PARALISADA POR FALTA DE RECURSO (SEPLAG - PE)</t>
  </si>
  <si>
    <t>EM ANDAMENTO  FALTA DE ORDEM DE SERVIÇO</t>
  </si>
  <si>
    <t>TOMADA DE PREÇO Nº 005/2016 /PROCESSO Nº 030/2016</t>
  </si>
  <si>
    <t>TOMADA DE PREÇO - CONTRATAÇÃO DE EMPRESA ESPECIALIZADA NA EXECUÇÃO DE SERVIÇOS DE ENGENHARIA PARA CONSTRUÇÃO DE PRÉDIO PRÓPRIO PARA FUNCIONAMENTO DO CENTRO DE REFERÊNCIA DE ASSISTÊNCIA SOCIAL - CRAS. CONVENIO MINISTÉRIO DE DESENVOLVIMENTO SOCIAL.</t>
  </si>
  <si>
    <t>CONSTRUTORA PILARTEX LTDA - ME</t>
  </si>
  <si>
    <t>OBRA EM EXECUÇÃO PARALISADA POR FALTA DE RECURSO (CAIXA)</t>
  </si>
  <si>
    <t>TOMADA DE PREÇO Nº 004/2016 /PROCESSO Nº027/2016</t>
  </si>
  <si>
    <t>TOMADA DE PREÇO - CONTRATAÇÃO DE EMPRESA DE ENGENHARIA PARA EXECUÇÃO DOS SERVIÇOS DE REFORMA E CONSTRUÇÃO: CANTEIRO CENTRAL, PRAÇA E 1 TREVO.</t>
  </si>
  <si>
    <t>PAVIMENTAÇÃO EM PARALELEPIPDO E SINALZAÇÃO EM DIVERSAS RUAS DO MUNICIPIO</t>
  </si>
  <si>
    <t>FUNDO DE APOIO ESTADUAL AOS MUNCIPIOS</t>
  </si>
  <si>
    <t>13.375.822/0001-07</t>
  </si>
  <si>
    <t>AÇÃO X CONSTRUTORA LTDA</t>
  </si>
  <si>
    <t>DISPENSA 009/2016</t>
  </si>
  <si>
    <t>TP/02/2014</t>
  </si>
  <si>
    <t>CONSTRUÇÃO DE UMA QUADRA ESPORTIVA COBERTA</t>
  </si>
  <si>
    <t>02.853900/0001-07</t>
  </si>
  <si>
    <t>MULTI EMPREENDIMENTOS E INCORPORAÇÕES LTDA</t>
  </si>
  <si>
    <t>S A SOUZA CONSTRUTORA LTDA</t>
  </si>
  <si>
    <t>Sem Informação</t>
  </si>
  <si>
    <t>PROC.018/2014</t>
  </si>
  <si>
    <t>REFORMA E AMPLIAÇÃO DO MURO DO CEMITÉRIO DO DISTRITO DE BATATEIRAS</t>
  </si>
  <si>
    <t>TA.019/2014</t>
  </si>
  <si>
    <t>PROC.019/2014</t>
  </si>
  <si>
    <t>REFORMA E AMPLIAÇÃO DO MURO DO CEMITÉRIO DA SEDE DO MUNICIPIO DE BELÉM DE MARIA</t>
  </si>
  <si>
    <t>270 DIAS</t>
  </si>
  <si>
    <t>PL N° 009/2014</t>
  </si>
  <si>
    <t>PL N° 028/2014</t>
  </si>
  <si>
    <t>MINITÉRIO DA EDUCAÇÃO - FNDE</t>
  </si>
  <si>
    <t>074/2014</t>
  </si>
  <si>
    <t>REFERE-SE A PRESTAÇÃO DE EMPRESA DO RAMO DE ENGENHARIA CIVIL PARA A IMPLANTAÇÃO DE 250 PRIVADAS HIGIENICAS NO MUNICÍPIO E DISTRITOS CONF. PROCESSO LICITATÓRIO N° 020/2012, BOLETO DE MEDIÇÃO N° 7, TOMADA DE PREÇO N° 006/2012 E 1° TERMO ADITIVO AO CONTRATO N° 043/2012 COM VENCIMENTO EM 28/06/2014. EMPENHO COM RETENÇÃO DE 11% DE INSS EM CIMA DO VALOR DA MÃO DE OBRA (60% DO VALOR DO SERVIÇO) E 4% DE ISS E 1,5% DE IR EM CIMA DO VALOR TOTAL DO SERVIÇO</t>
  </si>
  <si>
    <t>09.674.857/0001-61</t>
  </si>
  <si>
    <t>RICON CONSTRUTORA LTDA</t>
  </si>
  <si>
    <t>043/2012</t>
  </si>
  <si>
    <t>PL N° 038/2015</t>
  </si>
  <si>
    <t>ECO CONSTRUTORA &amp; INCORPORADORA LTDA - ME</t>
  </si>
  <si>
    <t>046/2015</t>
  </si>
  <si>
    <t>084/2016</t>
  </si>
  <si>
    <t>PL Nº 052/2015</t>
  </si>
  <si>
    <t>S.A. SOUZA CONSTRUTORA LTDA - EPP</t>
  </si>
  <si>
    <t>209/2015</t>
  </si>
  <si>
    <t xml:space="preserve">PAVIMENTAÇÃO ASFÁLTICA (C.B.U.Q) EM DIVERSA RUAS - </t>
  </si>
  <si>
    <t>GL EMPREENDIMENTOS LTDA. - ME</t>
  </si>
  <si>
    <t>TP N° 005/2015</t>
  </si>
  <si>
    <t>CONSTRUÇÃO DE UMA QUADRA DE ESPORTE COM VESTIÁRIO NA ESCOLA MUNICIPAL MANOEL TEODORO DE ARRUDA - SERRA DO VENTO- EMPENHO Nº 631/2016-1 NOTA FISCAL Nº 1329 VALOR R$ 94.090,12 (PAG. 50.000,00 PARCIAL) *NOTA Nº 1624 VALOR R$ 9.395,40 - EMPENHO 631/16-2 - NOTA N°1624-9 VALOR= R$ 9.395,40</t>
  </si>
  <si>
    <t>TC PAC Nº 11540/2014</t>
  </si>
  <si>
    <t>MINISTÉRIO DA EDUCAÇÃO - FNDE</t>
  </si>
  <si>
    <t>081/2015</t>
  </si>
  <si>
    <t>PL N° 023/2015</t>
  </si>
  <si>
    <t>TERMO DE ADESÃO Nº~021/2014</t>
  </si>
  <si>
    <t>SEPLAG/PE - FEM</t>
  </si>
  <si>
    <t>SS SERVIÇOS LOCAÇÕES E CONSTRUÇÕES LTDA</t>
  </si>
  <si>
    <t>PAVIMENTAÇÃO EM TSD - TRATAMENTO SUPERFICIAL DUPLO</t>
  </si>
  <si>
    <t>PL N° 050/2014</t>
  </si>
  <si>
    <t xml:space="preserve">REFERE-SE A REQUALIFICAÇÃO DA AVENIDA SENADOR PAULO GUERRA, LOCALIZADA NO BAIRRO DA COHAB I  </t>
  </si>
  <si>
    <t>091/2014</t>
  </si>
  <si>
    <t>PL N° 014/2013</t>
  </si>
  <si>
    <t>ACADEMIA DA SAÚDE - RUA ROGACIANO RAMOS, COHAB I</t>
  </si>
  <si>
    <t>10241913000111001</t>
  </si>
  <si>
    <t>CONSTRUTORA MARDIFI LTDA EPP</t>
  </si>
  <si>
    <t>066/2013</t>
  </si>
  <si>
    <t>1° ADITIVO  11/04/2014     2º ADITIVO 03/10/2014 3° ADITIVO 02/03/2015 4° ADITIVO 04/01/2015</t>
  </si>
  <si>
    <t>DISTRATADO</t>
  </si>
  <si>
    <t>PL Nº 034/2016</t>
  </si>
  <si>
    <t>CONSTRUÇÃO DE UMA CRECHE TIPO C * NOTA Nº 069 VALOR R$ 54.851,62
* NOTA Nº 073 VALOR R$ 104.299,13</t>
  </si>
  <si>
    <t>10.644.806/0001-
76</t>
  </si>
  <si>
    <t>101/2016</t>
  </si>
  <si>
    <t>PL Nº 029/2016</t>
  </si>
  <si>
    <t>SERVIÇO DE FORNECIMENTO E ASSENTAMENTO DE MEIO FIO EM DIVERSAS LOCALIDADES NO MUNICIPIO DE BELO JARDIM * NOTA Nº 064 VALOR R$ 27.374,22 - EMPENHO Nº 1741/16-1 NOTA Nº 064 VALOR R$ 27.374,22</t>
  </si>
  <si>
    <t>PL Nº  002/16</t>
  </si>
  <si>
    <t>CONTRATAÇÃO DE EMPRESA DE ENGENHARIA PARA EXECUTAR OS SERVIÇOS DE IMPLANTAÇÃO DE EQUIPAMENTOS E ÁREA DE LAZER E RECREAÇÃO PARA CRIANÇAS E ADLESCENTES * NOTA Nº 018 VALOR R$ 35.440,00</t>
  </si>
  <si>
    <t>08.250.978/0001-13</t>
  </si>
  <si>
    <t>SOUSA &amp; SILVA LTDA-EPP</t>
  </si>
  <si>
    <t>1° ADITIVO 12 MESES</t>
  </si>
  <si>
    <t xml:space="preserve">REPOSIÇÃO DE PAVIMENTO EM PARALELEPÍPEDO GRANÍTICO  </t>
  </si>
  <si>
    <t>17.938.554/0001-37</t>
  </si>
  <si>
    <t>AC CONSULTORIA E FISCALIZAÇÃO EM ENGENHARIAS LTDA</t>
  </si>
  <si>
    <t xml:space="preserve">MANUTENÇÃO E REFORMA DOS POSTOS DE SAÚDE  </t>
  </si>
  <si>
    <t>JCM CONSTRUÇÃO LTDA ME</t>
  </si>
  <si>
    <t>059/2014</t>
  </si>
  <si>
    <t>PL Nº 022/2016</t>
  </si>
  <si>
    <t>CONTRATAÇÃO DE EMPRESA DE ENGENHARIA PARA EXECUÇÃO DE PERFURAÇÃO DE POÇOS ARTESIANOS EM DIVERSOS BAIRROS NO MUNICIPIO * NOTA Nº 496 VALOR R$ 134.132,32 - EMPENHO 1025/16-1 NOTA N° 496 (PARCELADO= R$ 22.731,08</t>
  </si>
  <si>
    <t>41.235.813/0001-48</t>
  </si>
  <si>
    <t>VALE PUIU LTDA - EPP</t>
  </si>
  <si>
    <t>1º TERMO ADITIVO 27/07/2016</t>
  </si>
  <si>
    <t>CONTRATO Nº 032/2016</t>
  </si>
  <si>
    <t>SERVIÇOS DE TERRA PLANAGEM DO PARQUE ARIANO SUASSUNA* NOTA Nº 126 (03/06/16) VALOR R$ 71.483,35 - EMEPNHO Nº 725-1 NOTA Nº 126 VALOR R$ 35.764,68 * NOTA Nº 143 VALOR RS$ 58.302,44 - EMPENHO Nº 725/16-1 NOTA Nº 126 VALOR R$ 35.718,74 *NOTA Nº 174 VALOR R$ 19.534,65 - EMPENHO 726/16-2 NOTA N° 143 ( PARCELADO VALOR R$ 23639,26) - EMPENHO 2644/16-1 NOTA N° 174 VALOR= R$ 19.534,65</t>
  </si>
  <si>
    <t>PL 014/2014</t>
  </si>
  <si>
    <t>12.231.215/0001.00</t>
  </si>
  <si>
    <t>MENDONÇA E ACIOLI CONSTRUÇÕES EMPREENDIMENTOS E CIA. LTDA</t>
  </si>
  <si>
    <t>CONSTRUÇÃO DA PRAÇA TEREZINHA NUNES E REFORMA DO PARQUE DO BAMBU - EMPENHO N° 1516/2015 (PAGAMENTO PARCIAL)-1 NOTA N° 846 VALOR R$ 36.718,00</t>
  </si>
  <si>
    <t>109/2015</t>
  </si>
  <si>
    <t>J.F. Mineração e Construção Civil LTDA ME</t>
  </si>
  <si>
    <t>365 dias</t>
  </si>
  <si>
    <t>365 DIAS</t>
  </si>
  <si>
    <t>Tomada de preços 003/2016</t>
  </si>
  <si>
    <t xml:space="preserve">Construção de recuperação de barragens </t>
  </si>
  <si>
    <t>FEM 2015</t>
  </si>
  <si>
    <t>31/04/2016</t>
  </si>
  <si>
    <t>365dias</t>
  </si>
  <si>
    <t>Tomada de preços 002/2012</t>
  </si>
  <si>
    <t>Construção da Academia da Saúde</t>
  </si>
  <si>
    <t>J.Anchieta Silva Construçãoes LTDA</t>
  </si>
  <si>
    <t>Tomada de preços 001/2013</t>
  </si>
  <si>
    <t>Construção da unidade básica do Alto da Boa Vista</t>
  </si>
  <si>
    <t>FNS/PAR</t>
  </si>
  <si>
    <t>4.4.90.50</t>
  </si>
  <si>
    <t>300 DIAS</t>
  </si>
  <si>
    <t>18 MESES</t>
  </si>
  <si>
    <t>4490.51.99</t>
  </si>
  <si>
    <t>REFORMA DE 03 UNIDADES DE SAUDE NAS VILAS BOM JARDIM. SIPAUBA E CACIMBA NOVA</t>
  </si>
  <si>
    <t>MISTERIO DA SAUDE</t>
  </si>
  <si>
    <t>PEIXOTO CONSTRUÇÕES EMPREENDIMENTOS LTDA ME</t>
  </si>
  <si>
    <t>PE 093/2012</t>
  </si>
  <si>
    <t xml:space="preserve">Contratação de empresa de engenharia para construção de creche do programa proinfância tipo B, na sede do municipio de Bom Conselho </t>
  </si>
  <si>
    <t>MVC Componetes Plasticos Ltda</t>
  </si>
  <si>
    <t>Não Iniciada</t>
  </si>
  <si>
    <t xml:space="preserve">Contratação de empresa de engenharia para construção de creche do programa proinfância tipo C, no distrito de Logradouro dos Leões, municipio de Bom Conselho </t>
  </si>
  <si>
    <t>083/2013</t>
  </si>
  <si>
    <t xml:space="preserve">Contratação de empresa de engenharia para construção de creche do programa proinfância tipo C, no distrito de Rainha Isabel, municipio de Bom Conselho </t>
  </si>
  <si>
    <t>084/2013</t>
  </si>
  <si>
    <t>Pavimentação em paralelepípedos em diversas ruas da Cidade</t>
  </si>
  <si>
    <t>Mnistério do Turismo</t>
  </si>
  <si>
    <t>08.188.981/0001-54</t>
  </si>
  <si>
    <t>Mega Construtora e Serv.Ltda</t>
  </si>
  <si>
    <t>063/2011</t>
  </si>
  <si>
    <t>10.536.997/000-52</t>
  </si>
  <si>
    <t>GTA Construção LTDA-EPP</t>
  </si>
  <si>
    <t>Reforma e ampliação do Centro de Educação Infantil Giselda Vieira Belo neste Município.</t>
  </si>
  <si>
    <t>10.683.278/0001-64</t>
  </si>
  <si>
    <t>SS Construtora e Incorporadora Paulista Ltda</t>
  </si>
  <si>
    <t>Reforma e ampliação da Escola José Alexandre ,localizada no Distrito de Logradouro dos Leões,neste Município.</t>
  </si>
  <si>
    <t>088/2012</t>
  </si>
  <si>
    <t>Construção de um muro de arrimo para a Escola Marechal Dantas Barreto neste Município.</t>
  </si>
  <si>
    <t>193/2011</t>
  </si>
  <si>
    <t>Construção de unidade escolar no Sítio Barroncos</t>
  </si>
  <si>
    <t>Reconstrução da Escola Municipal Desembargador Francisco Austeriano de Castro, no Povoado de Freitas</t>
  </si>
  <si>
    <t>J. PONCIANO DE SANTANA NETO - EIRELLI - EPP</t>
  </si>
  <si>
    <t>065/2013</t>
  </si>
  <si>
    <t>Pavimentação em paralelepípedos, drenagem, contenção e sinalização viária de ruas em Umari, Tamboatá e Centro</t>
  </si>
  <si>
    <t>LOTE 3 - Pavimentação, drenagem e sinalização da rua da vaquejada, no Distrito de Umari</t>
  </si>
  <si>
    <t>R.CHAVES CUNHA CONSTRUÇÕES LTDA EPP</t>
  </si>
  <si>
    <t>14.426.194/0001-06</t>
  </si>
  <si>
    <t>PREGÃO 04/2016</t>
  </si>
  <si>
    <t>Aquisição de material para pavimentação em paralelepipedos em diversas ruas do município para o total de paralelepipedos - 911.591 und, meio fio-12.556m, cimento-4.993sc, areia grossa-2.666m³ e areia fina-600m³.</t>
  </si>
  <si>
    <t>029/2016</t>
  </si>
  <si>
    <t>212.390,30</t>
  </si>
  <si>
    <t>PREGÃO 04/2017</t>
  </si>
  <si>
    <t>03.426.130/0001-89</t>
  </si>
  <si>
    <t xml:space="preserve">RCOM COMERCIO E SERVIÇOS EIRELI-ME </t>
  </si>
  <si>
    <t>19.771,50</t>
  </si>
  <si>
    <t>C.C 010/2016</t>
  </si>
  <si>
    <t>Construção de mini terminal rodoviário de transporte alternativos (LOTE I).</t>
  </si>
  <si>
    <t>Pavimentação, urbanização e paisagismo(LOTE III)</t>
  </si>
  <si>
    <t>CONSTRUTORA MATIAS SILVA LTDA-ME</t>
  </si>
  <si>
    <t>Valor que se empenha para pagamento pela execução das obras e serviços de engenharia, relacionados à reforma com ampliação e adequação do Colégio Municipal Paulo Queiroz, neste Município, (Lote I), com recursos do FUNDEB 40%, conforme Contrato nº 148/2014.</t>
  </si>
  <si>
    <t>DL 003/2015</t>
  </si>
  <si>
    <t>Valor empenhado referente aos serviços prestados na execução de obras e serviços de engenharia, relativo a ampliação da Unidade Básica de Saúde – UBS de Bentevi, neste Município, correspondente a portaria GAB/MS nº 2.394 de 11/10/2011 – Programa de Requalificação do Ministério da Saúde, relativo ao (Lote I) do Contrato nº 055/2013.</t>
  </si>
  <si>
    <t>RIO UNA SERVIÇOS GERAIS LTDA – EPP</t>
  </si>
  <si>
    <t>Valor empenhado referente aos serviços prestados na execução de obras e serviços de engenharia, relativo a ampliação da Unidade Básica de Saúde – UBS do Rodeadouro, neste Município. Correspondente a portaria GAB/MS nº 2.394 de 11/10/2011 – Programa de Requalificação do Ministério da Saúde. Relativo ao (Lote IV) do Contrato nº 055/2013.</t>
  </si>
  <si>
    <t>VALOR EMPENHADO REFERENTE AOS SERVIÇOS PRESTADOS NA EXECUÇÃO DE OBRAS E SERVIÇOS DE ENGENHARIA, RELATIVO Á CONSTRUÇÃO DA UNIDADE DE PRONTO ATENDIMENTO -UPA- PORTE I- 24 HORAS, NESTE MUNICÍPIO, DE ACORDO COM DISPENSA DE LICITAÇÃO N°003/2015 E CONTRATO N°169/2015.</t>
  </si>
  <si>
    <t>78</t>
  </si>
  <si>
    <t>Valor que se empenha para pagamento pela execução das obras e serviços de engenharia, relacionados à pavimentação asfáltica da Av. Dr. Joaquim Nabuco, neste Município, incluso material, com recursos próprios, conforme 16º Termo Aditivo à TP de nº 006/2012 e Contrato de nº 089/2012.</t>
  </si>
  <si>
    <t>3990</t>
  </si>
  <si>
    <t>AMPLIAÇÃO DO SISTEMA DE ABASTECIMENTO DE ÁGUA DO MUNICÍPIO DE BREJÃO- PE</t>
  </si>
  <si>
    <t>SCAVE SERVIÇOS DE ENGENHARIA E LOCAÇAO LTDA</t>
  </si>
  <si>
    <t>CONTRATAÇÃO DE EMPRESA DE ENGENHARIA PARA CONSTRUÇÃO DE 2 (DUAS) UNIDADES BÁSICAS DE SAÚDE</t>
  </si>
  <si>
    <t>S. A. SOUZA CONSTRUTORA LTDA - ME (MATRIZ E FILIAIS)</t>
  </si>
  <si>
    <t>SERVIÇOS DE REFORMA E URBANIZAÇÃO DA ENTRADA PRINCIPAL DO MUNICÍPIO DE BREJÃO</t>
  </si>
  <si>
    <t>SERVIÇOS DE PERFURAÇÃO DE 03 (TRÊS) POÇOS ARTESIANOS NA ZONA RURAL DESTE MUNICÍPIO</t>
  </si>
  <si>
    <t>A &amp; S CONSTRUTORA ALBURQUERQUE &amp; SOUZA LTDA - EPP</t>
  </si>
  <si>
    <t>CONTRATAÇÃO DE EMPRESA DE ENGENHARIA PARA A EXECUÇÃO DE SERVIÇOS DE RECUPERAÇÃO DA CALÇADA DA RUA JOSÉ INÁCIO DOS SANTOS, NA SEDE DESTE MUNICÍPIO</t>
  </si>
  <si>
    <t>RENTAL LOCAÇÕES E SERVIÇOS LTDA</t>
  </si>
  <si>
    <t>CONTRATAÇÃO DE EMPRESA DE ENGENHARIA PARA A EXECUÇÃO DE SERVIÇOS COMPLEMENTARES DA CONSTRUÇÃO DA UNIDADE BÁSICA DE SAÚDE DA VILA MANDACARU, ZONA RURAL DO MUNICIPIO DE BREJÃO</t>
  </si>
  <si>
    <t>07.019.204/0001-13</t>
  </si>
  <si>
    <t>AJA CONSTRUTORA &amp; INCORPORADORA LTDA (MATRIZ E FILIAIS)</t>
  </si>
  <si>
    <t>AMPLIAÇÃO E REFORMA DO HOSPITAL MUNICIPAL DR. JOSÉ CARLOS DE SANTANA, N/CIDADE.</t>
  </si>
  <si>
    <t>07940834/0001-26</t>
  </si>
  <si>
    <t>CEDRO ENGENHARIA LTDA.</t>
  </si>
  <si>
    <t>019/14</t>
  </si>
  <si>
    <t>CONC 011/15</t>
  </si>
  <si>
    <t>CONC 009/2015</t>
  </si>
  <si>
    <t>CONC 007/2015</t>
  </si>
  <si>
    <t>18129658/0001-63</t>
  </si>
  <si>
    <t>ARRAIAL CONSTRU€åES DE EDIFÖCIOS LTDA-ME</t>
  </si>
  <si>
    <t>CONC 004/2015</t>
  </si>
  <si>
    <t>05506000/0001-81             05643776/0001-43</t>
  </si>
  <si>
    <t>MAV CONSULTORIA E SERVS. LTDA.                                         PILAR SERVI€OS LTDA.</t>
  </si>
  <si>
    <t xml:space="preserve">_           </t>
  </si>
  <si>
    <t>TP- 003/2009</t>
  </si>
  <si>
    <t xml:space="preserve">Contratação de empresa para construção melhorias sanitarias domiciliares </t>
  </si>
  <si>
    <t>0434/07</t>
  </si>
  <si>
    <t>Ministério da saúde Fundação Nacional de Saúde</t>
  </si>
  <si>
    <t>N.B Construções Ltda</t>
  </si>
  <si>
    <t xml:space="preserve">1° Aditivo de prazo de 120 dias venc. 12/11/12 - 2° Aditivo de prazo 120 dias venc.  15/03/11 - 3° Aditivo de prazo 120 dias venc. 10/11/11 - 5° ad, prazo 120 dias venc. 10/03/2012-- 6° adt. Praz.120 dias venc. 10/07/2012 - 7° ad. Praz. 120 dias 08/11/2012 </t>
  </si>
  <si>
    <t>44.90.5100</t>
  </si>
  <si>
    <t>TP-006/2010</t>
  </si>
  <si>
    <t>Contratação de empresa para construção de melhorias habitacionais para controle de chagas padrão FUNASA catonho e Amaro</t>
  </si>
  <si>
    <t>0729/2007</t>
  </si>
  <si>
    <t>A&amp;S Construtora Albuquerque &amp; Souza LTDA</t>
  </si>
  <si>
    <t>1° Aditivo de prazo 180 dias 17/10/2011 -- 2° Aditivo de prazo 180 dias venc. 15/04/2012 -- 3° Aditivo de prazo 180 dias venc. 10/04/2013 -- 5° Aditivo de prazo 180 dias venc. 07/10/2013</t>
  </si>
  <si>
    <t>Esta aguardando parecer juridico para que seja devolvido o recurso devido a esta obra.</t>
  </si>
  <si>
    <t>TP- 003/2013</t>
  </si>
  <si>
    <t>Contratação de empresa de engenharia para a conclusãoi de centro de informações turisticas (receptivo) e conclusão do pórtico de entrada da cidade Buique.</t>
  </si>
  <si>
    <t>170.498-81/2004</t>
  </si>
  <si>
    <t>Programa OGU/Turismo no Brasil uma viagem para todos ministério do turismo</t>
  </si>
  <si>
    <t>Rental Locações e Serviços LTDA-EPP</t>
  </si>
  <si>
    <t>Deserta</t>
  </si>
  <si>
    <t>CC 003/2010</t>
  </si>
  <si>
    <t>Urbanização da Comunidade Nova Era e Esgotamento Sanitário da Comunidade Manoel Vigia no Município do Cabo de Santo Agostinho</t>
  </si>
  <si>
    <t>0352.660-23/2011</t>
  </si>
  <si>
    <t>Ministério das Cidades/Prefeitura Municipal do Cabo de Santo Agostinho</t>
  </si>
  <si>
    <t>MF Engenharia e Equipamentos LTDA.</t>
  </si>
  <si>
    <t>066/2012</t>
  </si>
  <si>
    <t>18/09/2012 à 18/04/2014</t>
  </si>
  <si>
    <t>CC 006/2009</t>
  </si>
  <si>
    <t>Urbanização das favelas Chiado do Rato e Vila do Maruim</t>
  </si>
  <si>
    <t>0222.637-78/2007</t>
  </si>
  <si>
    <t>Ministério das Cidades/Governo do Estado de Pernambuco/Prefeitura Municipal do Cabo de Santo Agostinho</t>
  </si>
  <si>
    <t>039/2010</t>
  </si>
  <si>
    <t>03/05/2010 à  26/07/2011</t>
  </si>
  <si>
    <t>2ª Etapa em andamento</t>
  </si>
  <si>
    <t>CC 21/2011</t>
  </si>
  <si>
    <t>PAVIMENTAÇÃO E IMPLANTAÇÃO DE EQUIPAMENTO CULTURAL NO BAIRRO DE SANTO INÁCIO.</t>
  </si>
  <si>
    <t>ROTEC CONSTRUÇÃO E INCORP.LTDA.</t>
  </si>
  <si>
    <t>09/2012</t>
  </si>
  <si>
    <t>CC 05/2009</t>
  </si>
  <si>
    <t>REQUALIFICAÇÃO E RECAPEAMENTO DO SISTEMA VIARIO</t>
  </si>
  <si>
    <t>267.151-68/2008</t>
  </si>
  <si>
    <t>M.F. ENG. E EQUIPAMENTOS  LTDA</t>
  </si>
  <si>
    <t>214/2009</t>
  </si>
  <si>
    <t>CC  011/2011</t>
  </si>
  <si>
    <t>Urbanização do Chiado do Rato II - Loteamento Ilha - Distrito de Ponte dos Carvalhos</t>
  </si>
  <si>
    <t>0301.543-23/2009</t>
  </si>
  <si>
    <t>015/2012</t>
  </si>
  <si>
    <t>10/04/2012 à 04/05/2013</t>
  </si>
  <si>
    <t>CC 04/2009</t>
  </si>
  <si>
    <t>PAVIMENTAÇÃO E DRENAGEM DE VIAS ESTRUTURADORAS.</t>
  </si>
  <si>
    <t>261.871-44/2008</t>
  </si>
  <si>
    <t xml:space="preserve">MINISTÉRIO DAS CIDADES </t>
  </si>
  <si>
    <t>CONTRUTORA ANCAR LTDA</t>
  </si>
  <si>
    <t>213/2009</t>
  </si>
  <si>
    <t>MIN. INTEGRAÇÃO NACIONAL</t>
  </si>
  <si>
    <t>CC 02/2008</t>
  </si>
  <si>
    <t>PAVIMENTAÇÃO E DRENAGEM DE DIVERSAS RUAS E AV. 05 ENSEADA DOS CORAIS.</t>
  </si>
  <si>
    <t>247.990-98/2007</t>
  </si>
  <si>
    <t>CONSTRUTORA COELHO DE ANDRADE LTDA</t>
  </si>
  <si>
    <t>211/2008</t>
  </si>
  <si>
    <t>CC 005/2012</t>
  </si>
  <si>
    <t>Execução de Obras de Revestimento dos canais 1,2 e do canal do Boto, localizado em Eneadas dos Corais</t>
  </si>
  <si>
    <t>0292.737-51/2009</t>
  </si>
  <si>
    <t>SBC - Sociedade Brasileira de Construção LTDA.</t>
  </si>
  <si>
    <t>009/2013</t>
  </si>
  <si>
    <t>CC 014/2014</t>
  </si>
  <si>
    <t>Execução de Obras de Contenção de Encostas em 33 setores de alto risco</t>
  </si>
  <si>
    <t>0402.316-12/2012</t>
  </si>
  <si>
    <t>14/01/2015 à 14/01/2016</t>
  </si>
  <si>
    <t>Elaboração de Reprogramação</t>
  </si>
  <si>
    <t>CC  001/PMCSA- SEJES/2015</t>
  </si>
  <si>
    <t>CONTRATAÇÃO DE SERVIÇOS TÉCNICOS ESPECIALIZADOS PARA CONSTRUÇÃO DO ESTÁDIO DE PONTEZINHA.</t>
  </si>
  <si>
    <t>1004.881-74/2012</t>
  </si>
  <si>
    <t xml:space="preserve">MINISTÉRIO DOS ESPORTES  </t>
  </si>
  <si>
    <t>ROTEC CONSTRUÇÃO E INCORPORAÇÃO LTDA.</t>
  </si>
  <si>
    <t>CC 07/2014 SMI</t>
  </si>
  <si>
    <t>EXECUÇÃO DOS SERVIÇOS DE PAVIMENTAÇÃO E DRENAGEM DE ACESSO À COMUNIDADE DE CEPOVO (ANTIGA ESTRADA DE SUAPE ).</t>
  </si>
  <si>
    <t>GOVERNO DO ESTADO -FEM II</t>
  </si>
  <si>
    <t>CONSTRUTORA EVIDÊNCIA LTDA-EPP</t>
  </si>
  <si>
    <t>CC 012/2011</t>
  </si>
  <si>
    <t>Execução de Obras de Contenção de Encostas em àreas de Risco de diversas ruas no Bairro da Charnequinha.</t>
  </si>
  <si>
    <t>0351.557-48/2011</t>
  </si>
  <si>
    <t>JEPAC Construções LTDA.</t>
  </si>
  <si>
    <t>014/2012</t>
  </si>
  <si>
    <t>15/03/2012 à 09/03/2013</t>
  </si>
  <si>
    <t>Aguardando Aprovação da Reprogramação pela CAIXA ECONÔMICA FEDERAL</t>
  </si>
  <si>
    <t>CC 02/2014</t>
  </si>
  <si>
    <t>CONSTRUÇÃO DE QUADRA POLIESPORTIVA NA PRAÇA DA JUVENTUDE NO LOT. CIDADE GARAPU/COHAB.</t>
  </si>
  <si>
    <t>1000.940-91/2012</t>
  </si>
  <si>
    <t>36/2014</t>
  </si>
  <si>
    <t>CC 10/2014</t>
  </si>
  <si>
    <t>EXECUÇÃO DE OBRAS PAVIMENTAÇÃO, DRENAGEM, ESCADARIA E MURO DE CONTENÇÃO DAS RUAS: 17,18 ,19,20,21,22,23, 24, E 25.</t>
  </si>
  <si>
    <t>LINEAR ENGENHARIA E SERVIÇOS LTDA.</t>
  </si>
  <si>
    <t>CC 06/2014 SMI</t>
  </si>
  <si>
    <t>EXECUÇÃO DOS SERVIÇOS DE RECUPERAÇÃO DAS INSTALAÇÕES FÍSICAS DAS FEIRAS.</t>
  </si>
  <si>
    <t>FT SOLUÇÕES EM ENGENHARIA LTDA-ME</t>
  </si>
  <si>
    <t>94/2014</t>
  </si>
  <si>
    <t>CC nº 003/2011</t>
  </si>
  <si>
    <t>Regularização urbanista e fundiária das unidades habitacionais das Comunidades: Chiado do Rato e Vila Maruim, no Município do Cabo de Santo Agostinho.</t>
  </si>
  <si>
    <t>Geosistemas Engenharia e Planejamento Ltda</t>
  </si>
  <si>
    <t>081/2011</t>
  </si>
  <si>
    <t>05/09/2011 à 05/09/2012</t>
  </si>
  <si>
    <t>CC 07/2015 -  SAB</t>
  </si>
  <si>
    <t>COBERTA GALPÕES A, B, E                      e F DO MERCADÃO</t>
  </si>
  <si>
    <t>CONSTRUTORA  INGAZAEIRA LTDA -EPP</t>
  </si>
  <si>
    <t>TP                           14/2011</t>
  </si>
  <si>
    <t>OBRA DE REFORÇO ESTRUTURAL NA PONTE SOBRE O  CANAL DA RUA VOLNEY (VILA SOCIAL)</t>
  </si>
  <si>
    <t>PLÍNIO CAVALCANTI &amp; CIA LTDA</t>
  </si>
  <si>
    <t>Ministerio da Saúde</t>
  </si>
  <si>
    <t>Ministério da Educação</t>
  </si>
  <si>
    <t>079/2011</t>
  </si>
  <si>
    <t>101/2014</t>
  </si>
  <si>
    <t xml:space="preserve">Concluída </t>
  </si>
  <si>
    <t>Obras e serviços de engenharia relativo a ampliação da Unidade de Saude da Familia Cacilda Brandão Cavalcante Bairro Beira rio</t>
  </si>
  <si>
    <t xml:space="preserve">Serviços de Engenharia relativos a pavimentação da Albino Ayres </t>
  </si>
  <si>
    <t>1320dias</t>
  </si>
  <si>
    <t xml:space="preserve">Em andamento. </t>
  </si>
  <si>
    <t>Obras e Serviços de engenharia relativos a ampliação da Unidade Básica de Saúde do Murici</t>
  </si>
  <si>
    <t>P.L. 012/2015  T.P. 003/2015</t>
  </si>
  <si>
    <t>Pavimentação em Paralelepípedos Graníticos em diversas arterias</t>
  </si>
  <si>
    <t>Construtora Inhumas Ltda-ME</t>
  </si>
  <si>
    <t>119/2015</t>
  </si>
  <si>
    <t>36 meses</t>
  </si>
  <si>
    <t>Adriano Transporte e Construtora Ltda - ME</t>
  </si>
  <si>
    <t>Em Exec</t>
  </si>
  <si>
    <t>J Benevides da Silva Eireli - EPP</t>
  </si>
  <si>
    <t xml:space="preserve">Em Exec </t>
  </si>
  <si>
    <t>T. Adesão 035/2013</t>
  </si>
  <si>
    <t xml:space="preserve">FEM 1 </t>
  </si>
  <si>
    <t>C M P Construtora Ltda - EPP</t>
  </si>
  <si>
    <t xml:space="preserve">Secretaria de Saude/FMS </t>
  </si>
  <si>
    <t>em exec</t>
  </si>
  <si>
    <t>Construtora Deca Ltda - EPP</t>
  </si>
  <si>
    <t>TP 001/2011</t>
  </si>
  <si>
    <t>309.877-31/2009</t>
  </si>
  <si>
    <t xml:space="preserve">Ministerio das Cidades </t>
  </si>
  <si>
    <t>Agreste Projetos e Serviços de Locação Ltda</t>
  </si>
  <si>
    <t>TP 011/2011</t>
  </si>
  <si>
    <t>A &amp; S Construtora Albuquerque e Souza Ltda</t>
  </si>
  <si>
    <t>TP 008/2010</t>
  </si>
  <si>
    <t>309.876.27/2009</t>
  </si>
  <si>
    <t xml:space="preserve">31/12/2011
</t>
  </si>
  <si>
    <t>T. Adesão 036/2014</t>
  </si>
  <si>
    <t>65.354.250/0001-75</t>
  </si>
  <si>
    <t>Garoa Construção &amp; Empreendimentos Ltda</t>
  </si>
  <si>
    <t>Construtora Solo Ltda - EPP</t>
  </si>
  <si>
    <t xml:space="preserve">90 dias </t>
  </si>
  <si>
    <t>Construção de Escola Municipal com 02 salas.</t>
  </si>
  <si>
    <t>MBP Serviços de Construções LTDA.</t>
  </si>
  <si>
    <t>CONTRATAÇÃO DOS SERVIÇOS PARA CONTRAUÇÃO DE UMA PRAÇA DE LAZER E UMA PRAÇA DE EVENTOS NO POVOADO DE ROÇAS VELHAS, NO MUNICÍPIO DE CALUMBI.</t>
  </si>
  <si>
    <t>0251.161-46/2008</t>
  </si>
  <si>
    <t>351.543-75/2011</t>
  </si>
  <si>
    <t>DP 034/2011</t>
  </si>
  <si>
    <t>ESTADO DE PERNAMBUCO</t>
  </si>
  <si>
    <t>07.708.900/0001-37</t>
  </si>
  <si>
    <t>CARLOS EDUARDO SOUSA ANDRADE</t>
  </si>
  <si>
    <t>151/2011</t>
  </si>
  <si>
    <t>DISPENSA 008/2016</t>
  </si>
  <si>
    <t>05.050.382/0001-81</t>
  </si>
  <si>
    <t>TDC  CONSTRUÇÕES, CULTURA E SERVIÇOS EIRELI-EPP</t>
  </si>
  <si>
    <t>CONCORRÊNCIA 001/2013</t>
  </si>
  <si>
    <t>07.042.353/0001-01</t>
  </si>
  <si>
    <t>PROJECOM PROJETOS E ENGENHARIA DE CONSTRUÇÕES LTDA.</t>
  </si>
  <si>
    <t>CONCORRÊNCIA 003/2013</t>
  </si>
  <si>
    <t>061/2013</t>
  </si>
  <si>
    <t>CONVITE</t>
  </si>
  <si>
    <t>ULIMINAÇÃO DA QUADRA DE NAZARÉ E DO ESTÁDIO DE FUTEBOL LUIZ ALEXANDRINO</t>
  </si>
  <si>
    <t>PREFEITURA MUNICIPAL DE CAMARAGIBE</t>
  </si>
  <si>
    <t>08260663/0001-57</t>
  </si>
  <si>
    <t>1/2016</t>
  </si>
  <si>
    <t>OBRAS DE CONTENÇÃO DE ENCOSTAS E DRENAGEM NAS RUAS: ÁGUAS MARINHAS-V. DAS PEDREIRAS; STA. VERÔNICA E ERSINA LAPENDA- TIMBI; PARANÁ E ALTO PADRE CÍCERO- B. DOS ESTADOS, ANTÔNIO CAMILO E ARACI- AREEIRO E TRAV. S. PAULO- S. PAULO</t>
  </si>
  <si>
    <t>OBRAS DE RECUPERAÇÃO E MELHORIA DE HABITABILIDADE EM ASSENTAMENTOS PRECÁRIOS, INCLUINDO CONTENÇÃO DE ENCOSTAS, PAVIMENTAÇÃO, ACESSIBILIDADE E RECUPERAÇÃO DE MORADIAS EM TABATINGA E BAIRRO DOS ESTADOS</t>
  </si>
  <si>
    <t>TOMADA DE PREÇOS Nº 006/2014</t>
  </si>
  <si>
    <t xml:space="preserve"> CONTRATAÇÃO DE EMPRESA DE ENGENHARIA PARA EXECUÇÃO DAS OBRAS DE CONSTRUÇÃO DE MUROS DE ARRIMO, DRENAGEM, CONTENÇÃO DE ENCOSTA NA RUA PIAUÍ E RUA DAS PALMEIRAS - BAIRRO DOS ESTADOS NO MUNICÍPIO DE CAMARAGIBE/PE</t>
  </si>
  <si>
    <t>0402.317-26/2011</t>
  </si>
  <si>
    <t>JEPAC CONSTRUÇÕES  LTDA.</t>
  </si>
  <si>
    <t>24 MESES</t>
  </si>
  <si>
    <t>CONTRATAÇÃO DE EMPRESA DE ENGENHARIA PARA EXECUTAR SERVIÇOS DE ESTABILIZAÇÃO DE ENCOSTAS COM GEOMANTA DE PVC EM DIVERSAS LOCALIDADES DO MUNICÍPIO DE CAMARAGIBE.</t>
  </si>
  <si>
    <t>Contratação de empresa de engenharia para execurção de obras de manutenção corretiva das unidads de ensino.</t>
  </si>
  <si>
    <t>AGIL EMPREENDIMENTOS E SERVICOS ERELI-EPP</t>
  </si>
  <si>
    <t>CONTENÇÃO DE ENCOSTAS NA RUA JOVELINA ALBUQUERQUE DOS PRAZERES- AREEIRO</t>
  </si>
  <si>
    <t>1080 DIAS</t>
  </si>
  <si>
    <t>Serviços de drenagem e desvio de canal com revestimento em concreto armado nos trechos da rua João Gutemberg, trecho da rua Dr. Luiz Guimarães Filho; trecho da rua Laurindo Rabelo – Vera Cruz e trecho da rua Presidente Getúlio Vargas – Alberto Maia – Camaragibe-PE</t>
  </si>
  <si>
    <t>15.729.834/0001-00</t>
  </si>
  <si>
    <t xml:space="preserve">ROTTA ENGENHARIA E LOCAÇÕES EIRELI ME </t>
  </si>
  <si>
    <t>080/2013</t>
  </si>
  <si>
    <t xml:space="preserve">Obras de pavimentação e drenagem no trecho da rua H e I – loteamento São João e São Paulo - Camaragibe-PE </t>
  </si>
  <si>
    <t>04.822.868/0001-28</t>
  </si>
  <si>
    <t>SEMARH SERV ESPC EM MEIO AMBIENTE E REC HÍDRICOS LTDA</t>
  </si>
  <si>
    <t>Serviços de construção de um quiosque para apoio da guarda municipal, dois quiosques destinados aos vendedores de tempero/coentro , adequação do polo de verdura e a construção de quatro banheiros públicos todos na rua Eliza Cabral de Souza – Camaragibe-PE</t>
  </si>
  <si>
    <t>11.873.262/0001-87</t>
  </si>
  <si>
    <t>CONSTENE CONSTRUTORA E TERRAP DO NORDESTE LTDA</t>
  </si>
  <si>
    <t>CONSTRUÇÃO DE ESCADARIAS: JOSÉ ANTÔNIO DE LUNA; CACHOEIRA DO ITAPEMIRIM- VIANA E SÉRGIO ROMERO- CÓRREGO DO SAPO</t>
  </si>
  <si>
    <t>05.545.016/0001-01</t>
  </si>
  <si>
    <t>SOERGUER CONST. LTDA.</t>
  </si>
  <si>
    <t>054/2012</t>
  </si>
  <si>
    <t>RECUPERAÇÃO DE ESCADARIAS: R. AMÉLIA, R. 21 DE ABRIL, R. AMENDOLÂNDIA, R. SANTA ROSA, R. MOREIRA SALES- B. DOS ESTADOS, CAMARAGIBE/PE, EMPRESA CONTRATADA: P &amp; B CONSTRUÇÕES E SERVIÇOS LTDA.  INFORMAMOS QUE FORAM REALIZADOS APENAS OS SERVIÇOS DE RECUPERAÇÃO DA ESCADARIA DA R. AMENDOLÂNDIA- B. DOS ESTADOS.</t>
  </si>
  <si>
    <t>04.386.837/0001-71</t>
  </si>
  <si>
    <t>P &amp; B CONSTRUÇÕES E SERVIÇOS LTDA.</t>
  </si>
  <si>
    <t>CONCORRÊNCIA-002/2015(ADM)</t>
  </si>
  <si>
    <t xml:space="preserve">LOTE I – RUA MAURO GILBERTO DE OLIVEIRA, RUA JOSÉ ROMERO SOUZA FILHO, RUA JOSÉ DAS NEVES VIEIRA E RUA FREI DAMIÃO; LOTE II – RUA MIGUEL ARRAES DE ALENCAR, RUA TANCREDO NEVES, RUA CASTELO BRANCO - LADO ESQUERDO, RUA PROJETADA 01 E RUA PROJETADA 02; LOTE III: RUA ALZIRA MARIA DE LIMA – TRECHO 2 E RUA PRINCIPAL; LOTE IV: RUA PROJETADA 01, RUA PROJETADA 02, RUA PROJETADA 03, RUA PROJETADA 04 E RUA AQUINO DE MELO, NO BAIRRO DO CRUZEIRO, RUA PROJETADA 01, RUA PROJETADA 02, RUA PROJETADA 03, RUA PROJETADA 04, RUA ALZIRA MARIA DE LIMA – TRECHO 01, NO BAIRRO NOVO, E RUA SEVERINO COELHO XAVIER NO BAIRRO MUTIRÃO; LOTE V: RUA 01, RUA 02, TRAVESSA 01, TRAVESSA 02, RUA PADRE CÍCERO E RUA SÃO PEDRO(PARTE), </t>
  </si>
  <si>
    <t>CONTRATO DE REPASSE                       Nº 1006.812-48       Nº 1005.377-90       Nº 1007.888-54       Nº 1012.025-35 Nº1004.450-34</t>
  </si>
  <si>
    <t>PORTO DA CONSTRUÇÃO LTDA-EPP</t>
  </si>
  <si>
    <t>015/2015+I31:O31I31:Q31</t>
  </si>
  <si>
    <t>1º TERMO ADITIVO PRORROGAÇÃO 12.02.2016 A 12.08.2016</t>
  </si>
  <si>
    <t>ANULADA</t>
  </si>
  <si>
    <t>DP-001/2014    (SUS)</t>
  </si>
  <si>
    <t>CONTRATAÇÃO DE EMPRESA DE ENGENHARIA PARA EXECUÇÃO DE OBRA DE CONSTRUÇÃO DA ACADEMIA DA SAÚDE NO BAIRRO DO CRUZEIRO, NESTE MUNICIPIO.</t>
  </si>
  <si>
    <t>03.965.980/0001-55G17:Q17BG17:R17</t>
  </si>
  <si>
    <t>3° TERMO ADITIVO 04.01.2016 (ACRÉSCIMO) 4º TERMO DE ADITIVO     11.02.2016 A 31.12.2016</t>
  </si>
  <si>
    <t>CONCORRÊNCIA-001/2015(ADM)</t>
  </si>
  <si>
    <t>02.320.253/0001-78</t>
  </si>
  <si>
    <t>TP Nº 001/09</t>
  </si>
  <si>
    <t>CONSTRUÇÃO DE 220 UNIDADES SANITÁRIAS</t>
  </si>
  <si>
    <t>0437/07</t>
  </si>
  <si>
    <t>41.046.285/0001-89</t>
  </si>
  <si>
    <t xml:space="preserve">A.A. de S. Jr. Eneg. </t>
  </si>
  <si>
    <t>020/2009</t>
  </si>
  <si>
    <t>TP-02/09</t>
  </si>
  <si>
    <t>PAVIMENTAÇÃO ASFÁLTICA DA RUA BENJAMIN CONSTANT</t>
  </si>
  <si>
    <t>275728</t>
  </si>
  <si>
    <t>MT</t>
  </si>
  <si>
    <t>Const. Ancar Ltda</t>
  </si>
  <si>
    <t>024/09</t>
  </si>
  <si>
    <t>TP-04/09</t>
  </si>
  <si>
    <t>CONSTRUÇÃO DE 48 UNIDADES SANITÁRIAS NA SEDE DO MUNICÍPIO E NA VILA TUPY</t>
  </si>
  <si>
    <t>929/07</t>
  </si>
  <si>
    <t>64/09</t>
  </si>
  <si>
    <t>CV-018</t>
  </si>
  <si>
    <t>COSNTRUÇÃO DE 34 (TRINTA E QUATRO) UNIDADES SANITÁRIAS NO DISTRITO DE PAQUEVIRA</t>
  </si>
  <si>
    <t>0308/07</t>
  </si>
  <si>
    <t>Con. e I. Neves Ltda</t>
  </si>
  <si>
    <t>043/09</t>
  </si>
  <si>
    <t>Contratação de prestação de serviços de engenharia para reposição de pavimentação em paralelepípedos, caiação de meio-fio e capinação de diversas ruas da cidade</t>
  </si>
  <si>
    <t>ECO CONSTRUTORA &amp; IMCORPORADORA LTDA-ME</t>
  </si>
  <si>
    <t>43/2015</t>
  </si>
  <si>
    <t>PAVIMENTAÇÃO EM PARALELEPIPEDOS EM DIVERSAS RUAS NO CENTRO URBANO</t>
  </si>
  <si>
    <t>CAIXA ECONOMICA</t>
  </si>
  <si>
    <t>BETON BRASIL CONSTRUÇÕES EIRELI EPP</t>
  </si>
  <si>
    <t>45/2015</t>
  </si>
  <si>
    <t>4.4.9.0.51.00</t>
  </si>
  <si>
    <t>Contratação de uma empresa do ramo de engenharia para executar com material e mão-de-obra próprios, e de acordo com o Projeto Básico, a obra de reforma com acréscimo, para implantação da nova sede da Empresa de Urbanização e Planejamento de Caruaru – URB, localizada entre as Ruas: Visconde de Inhaúma e Laura Rabelo, no bairro Maurício de Nassau, nesta Cidade.</t>
  </si>
  <si>
    <t>00.654.704/0001 – 88</t>
  </si>
  <si>
    <t>ABL ENGENHARIA COMÉRCIO E REPRESENTAÇÕES LTDA.</t>
  </si>
  <si>
    <t>405 DIAS</t>
  </si>
  <si>
    <t>4.4.90.51.00.00</t>
  </si>
  <si>
    <t>Obra concluída.</t>
  </si>
  <si>
    <t>033/2016</t>
  </si>
  <si>
    <t>CP 003/2015</t>
  </si>
  <si>
    <t>SERVIÇOS DE PAVIMENTAÇÃO ASFÁLTICA, RECAPEAMENTO ASFÁLTICO E PAVIMENTAÇÃO EM PARALELO DE VIAS URBANAS DO MUNICÍPIO DOS LOTES I, III e IV.</t>
  </si>
  <si>
    <t>20/02/2017 (370 DIAS)</t>
  </si>
  <si>
    <t>PA 019/2016</t>
  </si>
  <si>
    <t>CONTRATAÇÃO DE EMPRESA ESPECIALIZADA EM ENGENHARIA ELÉTRICA NO FORNECIMENTO E INSTALAÇÕES FUTURAS, PARA MODERNIZAÇÃO, RECONSTITUIÇÃO E EFICIENTIZAÇÃO DO PARQUE DE ILUMINAÇÃO PÚBLICA</t>
  </si>
  <si>
    <t>OBRAS DE INFRAESTRUTURA TURÍSTICA DO ALTO DO MOURA, COMPREENDENDO: REVIT. DAS CALÇADAS (TRECHOS 2, 3, 4 e 5), PRAÇA DO RECEPTIVO E GRADIL DO ESTACIONAMENTO, RECEPTIVO TURÍSTICO E CASA DA MULHER ARTESÃ (LOTE I - PROJETO REVITALINO, AV. MESTRE VITALINO, ALTO DO MOURA)</t>
  </si>
  <si>
    <t>MIN. DO TURISMO / CAIXA  //    SICONV</t>
  </si>
  <si>
    <t>NUNES &amp; CAVALCANTI CONSTRUÇÕES LTDA EPP</t>
  </si>
  <si>
    <t>DL 004/2013</t>
  </si>
  <si>
    <t>EXECUÇÃO DE SERVIÇOS PARA CONSTRUÇÃO DA PRAÇA DOS ESPORTES E DA CULTURA - PEC, MODELO 3.000 M², A SER LOCALIZADA NA AV. ZÉ TATU, ANTIGA AV. PROJETADA 02, BAIRRO MARIA AUXILIADORA, NESTE MUNICÍPIO.</t>
  </si>
  <si>
    <t>12.087.216/0001-15</t>
  </si>
  <si>
    <t>LIV ENGENHARIA LTDA</t>
  </si>
  <si>
    <t>008/2013</t>
  </si>
  <si>
    <t>06/09/2013 (PARALISAÇÃO) 14/10/2013 (REINÍCIO)</t>
  </si>
  <si>
    <t>630 DIAS
(26/12/2015)</t>
  </si>
  <si>
    <t>CONTRATAÇÃO DE EMPRESA DE ENGENHARIA PARA EXECUTAR OS SERVIÇOS DE CONSTRUÇÃO DO CENTRO DE REFERÊNCIA ESPECIALIZADA DE ASSISTÊNCIA SOCIAL - CREAS, A SER LOCALIZADO NA RUA JOSÉ MARCELINO DE ARAUJO Nº 1062, CEDRO, NESTA CIDADE.</t>
  </si>
  <si>
    <t>MDS/FNAS/CAIXA</t>
  </si>
  <si>
    <t>SOLITEC SERVIÇOS TÉCNICOS LTDA - ME.</t>
  </si>
  <si>
    <t>RECAPEAMENTO ASFÁLTICO DO ITEM III - AVENIDA PANAMERICANA, BAIRRO NOVA CARUARU, DESTE MUNICÍPIO.</t>
  </si>
  <si>
    <t>JEPAC ENGENHARIA LTDA ME</t>
  </si>
  <si>
    <t>20/11/2014 (PARALISAÇÃO) 31/03/2015 (REINÍCIO)</t>
  </si>
  <si>
    <t>DL007/2014</t>
  </si>
  <si>
    <t>CONTRATAÇÃO DE EMPRESA DE ENGENHARIA PARA EXECUÇÃO DOS SERVIÇOS DE CONSTRUÇÃO DA PRAÇA EUCLIDES QUEIROZ, NO BAIRRO CEDRO, NESTE MUNICÍPIO.</t>
  </si>
  <si>
    <t>11/06/2014 (PARALISAÇÃO)              01/12/2016 (REINÍCIO)</t>
  </si>
  <si>
    <t>10.568.615/0001-72</t>
  </si>
  <si>
    <t>SANTOS CONSTRUÇÕES LTDA - ME</t>
  </si>
  <si>
    <t>CV 018/2015</t>
  </si>
  <si>
    <t>FORNECIMENTO E ASSENTAMENTO DE GRADIL E RESTAURAÇÃO PARA PROTEÇÃO DE PRAÇAS, PARQUES E JARDINS NESTE MUNICÍPIO.</t>
  </si>
  <si>
    <t>93 DIAS (12/11/16)</t>
  </si>
  <si>
    <t>CC 033/2014</t>
  </si>
  <si>
    <t>PAVIMENTAÇÃO EM PARALELEPÍPEDOS GRANÍTICO E PASSEIO EM CONCRETO E PLANTIO DE GRAMA, À SEREM REALIZADOS NAS UPAS RENDEIRAS, LOCALIZADA A RUA MAJOR JOÃO COELHO, Nº200 E BOA VISTA I, LOCALIZADO A RUA SÃO FRANCISCO PEREIRA SILVA Nº100, NESTE MUNICÍPIO, COM MATERIAL E MÃO DE OBRA DO EMPREITEIRO.</t>
  </si>
  <si>
    <t>04/07/2016 (PARALISAÇÃO)        10/10/2016 (REINÍCIO)</t>
  </si>
  <si>
    <t>CV 020/2015</t>
  </si>
  <si>
    <t>DRENAGEM DE TRECHO DA RUA MARACAÍBA, TRECHO DA RUA DR. JOSÉ PAES, TRECHO DA RUA DÁRIO GALVÃO, TRECHO DA AV. AGAMENON MAGALHÃES E TRECHO DA AV. DOS ESTADOS.</t>
  </si>
  <si>
    <t>PAVIMENTAÇÃO ENTRADAS DE RUAS NA ESTRADA DO MURICI, ACESSO À VILA MURICI: R-08, R-15, R-16, R-17, R-18, NESTE MUNICÍPIO.</t>
  </si>
  <si>
    <t>WALTER L. DA SILVA CONSTRUÇÕES LTDA-ME</t>
  </si>
  <si>
    <t>LETTAL CONSTRUÇÕES LTDA</t>
  </si>
  <si>
    <t>CONTRATAÇÃO DE EMPRESA DE ENGENHARIA PARA CONSTRUÇÃO DE UMA (01) QUADRA ESPORTIVA ESCOLAR COBERTA COM VESTIÁRIO NA ESCOLA MUNICIPAL PIO XII, NO SÍTIO JUNCO,NESTE MUNICIPIO.</t>
  </si>
  <si>
    <t>17.679.352/0001-18</t>
  </si>
  <si>
    <t>PROEX CONSTRUÇÃO E SERVIÇOS EIRELI-EPP</t>
  </si>
  <si>
    <t xml:space="preserve"> EXECUÇÃO DE SERVIÇOS DE IMPLANTAÇÃO DE 03 MÓDULOS DE SISTEMA DE ABASTECIMENTO DE
ÁGUA EM COMUNIDADES RURAIS,NO ÃMBITO DO PROGRA</t>
  </si>
  <si>
    <t>CONSTRUTORA DOIS IRMÃOS LTDA-EPP</t>
  </si>
  <si>
    <t>CONSTRUÇÃO DE (01) UMA QUADRA ESPORTIVA NA UNIDADE ESCOLAR GEDEÃO ALMEIDA, NO SITIO CATOLÉ DE MITONHO, ZONA RURAL DO MUNICÍPIO DE CASINHAS, ESTADO DE PERNAMBUCO.</t>
  </si>
  <si>
    <t xml:space="preserve">CONTRATAÇÃO DE EMPRESA ESPECIALIZADA EM ENGENHARIA PARA
REFORMA, AMPLIAÇÃO E MANUTENÇÃO DE DIVERSAS ESCOLAS MUNICIPAIS, PREDIO DE SECRETARIA DE EDUCAÇÃO E QUADRA, NESTE MUNICIPIO. REALIZAÇÃO DE PINTURAS E REFORMA </t>
  </si>
  <si>
    <t>04.415.785/0001-14</t>
  </si>
  <si>
    <t>CONSTRUTORA SALVIANO LTDA</t>
  </si>
  <si>
    <t>INSTALAÇÃO DE CERCA DO
TIPO ALOMBRADO, EM TELA DE ARAME GALVANIZADO, PARA FECHAMENTO DAS QUADRAS DA ESCOLA ANTONIO FRANCISCO DE PAULA E ESCOLA PROFESSOR DANIEL</t>
  </si>
  <si>
    <t>CONSTRUTORA REGIO LTDA</t>
  </si>
  <si>
    <t>113/2014</t>
  </si>
  <si>
    <t>05 MESES</t>
  </si>
  <si>
    <t>SECRETARIA DE PLANEJAMENTO E GESTÃO (FEM)</t>
  </si>
  <si>
    <t>TP 047/2015</t>
  </si>
  <si>
    <t>RECONSTRUÇÃO DO PRÉDIO DA COORDENADORIA DA MULHER</t>
  </si>
  <si>
    <t>TERMO DEW ADESÃO Nº 001/2014</t>
  </si>
  <si>
    <t>W.M ENGENHARIA LTDA -EPP</t>
  </si>
  <si>
    <t>Rio Branco Construções Ltda.</t>
  </si>
  <si>
    <t>Construção de 01(uma) Quadra Coberta com vestiário, localizada na PE 040, no município.</t>
  </si>
  <si>
    <t>23400009284201315</t>
  </si>
  <si>
    <t>TP004/2013</t>
  </si>
  <si>
    <t>05.596.625/0001-81</t>
  </si>
  <si>
    <t>Santiago Empreendimentos Ltda.</t>
  </si>
  <si>
    <t>Construção de 01(uma) UBS (Unidade Básica de Saúde) - Santa Luzia, na Rua Fernandes Vieira no município.</t>
  </si>
  <si>
    <t>12397007000113001</t>
  </si>
  <si>
    <t>Construção de uma Quadra Poliesportiva no Sítio Chã de Aldeia</t>
  </si>
  <si>
    <t>03.507.255/0001-33</t>
  </si>
  <si>
    <t>Nova Era Construções e Incorporações Ltda.</t>
  </si>
  <si>
    <t>015/2011</t>
  </si>
  <si>
    <t>Ampliação da Unidade de Saúde da Familia do Novo Tempo</t>
  </si>
  <si>
    <t>FMS</t>
  </si>
  <si>
    <t>02.072.733/0001-06</t>
  </si>
  <si>
    <t>04/03/2014</t>
  </si>
  <si>
    <t>449.051</t>
  </si>
  <si>
    <t>TP 009/2010</t>
  </si>
  <si>
    <t>Construção da Creche/Proinfância</t>
  </si>
  <si>
    <t>656.893/2009</t>
  </si>
  <si>
    <t>A&amp; S Construtora Albuquerque e Souza Ltda</t>
  </si>
  <si>
    <t>036/2010</t>
  </si>
  <si>
    <t>Contratação de empresa de engenharia para executar obra de construção de 01 (uma) creche Projeto Pro Infancia tipo 2(dois) Prjeto padrão  ,no Distrito de Poço Comprido</t>
  </si>
  <si>
    <t>13765392/0001-21</t>
  </si>
  <si>
    <t>RL Serviiços de Gestão de Obras e Consultoria Ltda- ME</t>
  </si>
  <si>
    <t>TP 007/09</t>
  </si>
  <si>
    <t>Construção de 202 (duzentos e duas) Privadas Higiênicas no Município.</t>
  </si>
  <si>
    <t>0440/07</t>
  </si>
  <si>
    <t>O &amp; M Empreendimentos Ltda.</t>
  </si>
  <si>
    <t>067/09</t>
  </si>
  <si>
    <t>24
meses</t>
  </si>
  <si>
    <t>Convite 008/2015</t>
  </si>
  <si>
    <t>Contratação de empresa de engenharia para executar obra de construção de 01 (uma) sede própria para instito de Previdencia dos servidores Públicos do Município das Correntes - IPSEC</t>
  </si>
  <si>
    <t>Não iniciada</t>
  </si>
  <si>
    <t>076/2013</t>
  </si>
  <si>
    <t>09 MESES</t>
  </si>
  <si>
    <t xml:space="preserve"> XXXXXXXX </t>
  </si>
  <si>
    <t>xxxxxxx</t>
  </si>
  <si>
    <t>TP 04/2011</t>
  </si>
  <si>
    <t>CONSTRUÇÃO DE UMA QUADRA ESCOLAR COBERTA COM PALCO, NA ESCOLA JOÃO DUARTE - DISTRITO AMEIXAS - CUMRU -PE</t>
  </si>
  <si>
    <t>181/2012</t>
  </si>
  <si>
    <t>1º,2º,3º</t>
  </si>
  <si>
    <t>CONSTRUÇÃO DE PAVIMENTAÇÃO EM PARALELEPIPEDOS GRANÍTICOS COM CALÇADA E MEIO FIO DA TRAVESSA SEVERINO  LEMOS, BAIRRO SANTA TEREZINHA NESTE MUNICÍPIO (LOTE 01) E RUA PAILU E ACESSO AO BAIRRO SANTA TEREZINHA (LOTE 02)</t>
  </si>
  <si>
    <t>CAIXA ECONOMICA FEDERAL MINISTÉRIO DAS CIDADES</t>
  </si>
  <si>
    <t>118/2012-1</t>
  </si>
  <si>
    <t>XXXXXXXX</t>
  </si>
  <si>
    <t>PERFURAÇÃO DE POÇOS ARTESIANO E SERVIÇOS DE LIMPEZA</t>
  </si>
  <si>
    <t>11.401.046/0001-39</t>
  </si>
  <si>
    <t>S.O.S POÇOS LTDA</t>
  </si>
  <si>
    <t>xxxxxxxxxx</t>
  </si>
  <si>
    <t>CAMOL - CONSTRUTORA AMORIM LTDA - ME</t>
  </si>
  <si>
    <t>AMPLIAÇÃO E REFORMA DA UNIDADE BÁSICA DE SAÚDE - UBS SÍTIO SAMBAQUIM - LOTE III</t>
  </si>
  <si>
    <t>26050O263149O/6681</t>
  </si>
  <si>
    <t>SERVIÇOS DE RECUPERAÇÃO DE ESTAÇÃO DE TRATAMENTO DE ÁGUA DO POVOADO DE GRAVATÁ-AÇU, ZONA RURAL</t>
  </si>
  <si>
    <t>CONSTRUTORA NÁPOLIS LTDA</t>
  </si>
  <si>
    <t>150 dias</t>
  </si>
  <si>
    <t>540 dias</t>
  </si>
  <si>
    <t>360 dias</t>
  </si>
  <si>
    <t>CONSTRUÇÃO DE ESCOLA INFANTIL NA SEDE DO MUNICÍPIO</t>
  </si>
  <si>
    <t>12.212.426/0001-100</t>
  </si>
  <si>
    <t>ESTRELA CONSTRUÇÕES E SERVIÇOS LTDA</t>
  </si>
  <si>
    <t>106/2012</t>
  </si>
  <si>
    <t>26/06/2014</t>
  </si>
  <si>
    <t>S.A.SOUZA CONSTRUTORA LTDA ME</t>
  </si>
  <si>
    <t>TOMADA DE PREÇO  005/2014</t>
  </si>
  <si>
    <t>PAVIMENTAÇÃO EM TSD E CBUQ DE DIVERSAS RUAS NA SEDE DO MUNICÍPIO DE DORMENTES-PE</t>
  </si>
  <si>
    <t>PAULO SERGIO &amp; CIA CONSTRUÇÕES LTDA</t>
  </si>
  <si>
    <t>720 DIAS</t>
  </si>
  <si>
    <t>540 DIAS</t>
  </si>
  <si>
    <t>TOMADA DE PREÇO 010/2014</t>
  </si>
  <si>
    <t>CONCLUSÃO DA CONSTRUÇÃO DA ESCOLA DE ENSINO INFANTIL NA SEDE DO MUNICÍPIO DE DORMENTES</t>
  </si>
  <si>
    <t>PAC202980/2012</t>
  </si>
  <si>
    <t>PAVIMENTAÇÃO DE CANTEIROS DE DIVERSAS RUAS NO CENTRO DA CIDADE, PINTURA DE MEIO FIO E ROÇO DE ESTRADAS</t>
  </si>
  <si>
    <t>MANDACARU CONSTRUÇÕESDE EDIFÍCIOS LTDA - EPP</t>
  </si>
  <si>
    <t>REQUALIFICAÇÃO DA AV. COMENDADOR JOSÉ PEREIRA</t>
  </si>
  <si>
    <t>04023278/0001-35</t>
  </si>
  <si>
    <t>MOMENTO CONSTRUÇÕES E SERVIÇOS LTDA.</t>
  </si>
  <si>
    <t>S/NO.</t>
  </si>
  <si>
    <t>MICRO E MACRO DRENAGEM</t>
  </si>
  <si>
    <t>12840548/0001-29</t>
  </si>
  <si>
    <t>CONSTRUTORA AGENDA LTDA.</t>
  </si>
  <si>
    <t>NÃO REINICIADA</t>
  </si>
  <si>
    <t>TP0056/2014</t>
  </si>
  <si>
    <t>CONSTRUÇAO DE MUROS DE ARRIMO E ESCADARIAS</t>
  </si>
  <si>
    <t>15201963/0001-20</t>
  </si>
  <si>
    <t>CONSTRUVAL ENGENHARIA E LOCAÇÕES LTDA.</t>
  </si>
  <si>
    <t>CONSTRUÇÃO DE MURO E GUARITA DO PARQUE DA CIDADE</t>
  </si>
  <si>
    <t>CC010/2016</t>
  </si>
  <si>
    <t>RECONSTRUÇÃO  PARALELEPIPEDOS GRANITICOS DE RUAS DO MUNICIPIO.</t>
  </si>
  <si>
    <t>22289908/0001-08</t>
  </si>
  <si>
    <t>SJA CONSTRUTORA LTDA – ME</t>
  </si>
  <si>
    <t>S/Nº – 2016</t>
  </si>
  <si>
    <t>TP Nº 004/2015</t>
  </si>
  <si>
    <t>Construção de Quadras Poliesportivas em diversas localidades do municipio de Exu-PE</t>
  </si>
  <si>
    <t>293/2015</t>
  </si>
  <si>
    <t>720 dias</t>
  </si>
  <si>
    <t>179/2016</t>
  </si>
  <si>
    <t>12 Meses</t>
  </si>
  <si>
    <t>180  DIAS</t>
  </si>
  <si>
    <t>PREGÃO PRES.: 014/2014</t>
  </si>
  <si>
    <t xml:space="preserve"> CONST. DE UBS - LOT JARDIM SANTA ROSA</t>
  </si>
  <si>
    <t>RECURSOS FEDERAL</t>
  </si>
  <si>
    <t>MGM EMPREENDIMENTOS E SERVIÇOS LTDA</t>
  </si>
  <si>
    <t>046/14</t>
  </si>
  <si>
    <t>03.181.411/0001-19</t>
  </si>
  <si>
    <t>Construção de melhorias sanitárias domiciliares, em diversos sítios deste município</t>
  </si>
  <si>
    <t>Ministério da Saúde Funasa</t>
  </si>
  <si>
    <t>11.238.777/0001-05</t>
  </si>
  <si>
    <t>COGEPAC - Consultoria Arquitetura e Engenharia Gestão e Planejamento de cidades Ltda.</t>
  </si>
  <si>
    <t>25/10/2013</t>
  </si>
  <si>
    <t>CV 004/2016</t>
  </si>
  <si>
    <t>MINISTERIO DA EDUCAÇÃO</t>
  </si>
  <si>
    <t>CONSTRUÇÃO DE ESCOLA DE 6 SALAS NO BAIRRO SANTA ROSA</t>
  </si>
  <si>
    <t>TC 32275/2014</t>
  </si>
  <si>
    <t>CONSTRUTORA MATRIZ EPP</t>
  </si>
  <si>
    <t>149/2015</t>
  </si>
  <si>
    <t>MANUTENÇÃO DE ESCOLAS E PRÉDIOS PÚBLICOS</t>
  </si>
  <si>
    <t>PREFEITURA MUNICIPAL DE FLORESTA</t>
  </si>
  <si>
    <t>J.E. Gomes Sampaio Ltda.</t>
  </si>
  <si>
    <t>27/11/2015</t>
  </si>
  <si>
    <t>30 MESES</t>
  </si>
  <si>
    <t>PAVIMENTAÇÃO GRANITICA NA AGROVILA 06</t>
  </si>
  <si>
    <t>META CONSTRUÇÕES E EMPREENDIMENTOS LTDA</t>
  </si>
  <si>
    <t>10/06/2014</t>
  </si>
  <si>
    <t>CONSTRUÇÃO DE 25 BANHEIROS NA ÁREA URBANA</t>
  </si>
  <si>
    <t>20/06/2014</t>
  </si>
  <si>
    <t>PERFURAÇÃO DE POÇOS PROFUNDOS NA ZONA RURAL DO MUNICIPIO DE FLORESTA</t>
  </si>
  <si>
    <t>19.267.472/0001-33</t>
  </si>
  <si>
    <t>Realiza Comércio e Serviços EIRELLI - EPP</t>
  </si>
  <si>
    <t>187/2014</t>
  </si>
  <si>
    <t>WC CONSTRUTORA LTDA</t>
  </si>
  <si>
    <t>TP 04/2014</t>
  </si>
  <si>
    <t>PAVIMENTAÇÃO EM PARALELEPIPEDOS EM DIVERSAS RUAS DO POVOADO: CAPIVARA, CHÃ GRANDE, PATOS E PLACAS</t>
  </si>
  <si>
    <t>REFORMA DA CÂMARA DE VEREADORES</t>
  </si>
  <si>
    <t>CONSTRUÇÃO DE UMA UNIDADE ESCOLAR INFANTIL - TIPO B</t>
  </si>
  <si>
    <t>FNDE/PRÓ-INFÂNCIA</t>
  </si>
  <si>
    <t>12.292.128/0001-55</t>
  </si>
  <si>
    <t>SANTOS &amp; BORBA EMPREENDIMENTOS LTDA – ME</t>
  </si>
  <si>
    <t>CONSTRUÇÃO DE UMA ACADEMIA DA SAÚDE NO MUNICÍPIO DE GAMELEIRA</t>
  </si>
  <si>
    <t xml:space="preserve">FUNDO NACIONAL DE SAÚDE </t>
  </si>
  <si>
    <t>CONSTRUÇÃO DA UNIDADE DE SAÚDE DA FAMILIA DA RUA DA PENHA</t>
  </si>
  <si>
    <t>08/2014</t>
  </si>
  <si>
    <t>AMPLIAÇÃO DA UNIDADE DE SAÚDE DA FAMILIA DE CUIAMBUCA</t>
  </si>
  <si>
    <t>09/2014</t>
  </si>
  <si>
    <t>30 DIAS</t>
  </si>
  <si>
    <t>Contrato Rescindido</t>
  </si>
  <si>
    <t>CC 008/2013</t>
  </si>
  <si>
    <t>Reforma e impliação das escolas Municípais: Oscar Francisco da Silva, Batista da Esperana,  Julião Capitó Filho, Virgília Garcia Bessa, José Ferreira Sobrinho, Salomão Rodrigues Vilela, Francisco Albino da Silva, Zona Rural neste Município.</t>
  </si>
  <si>
    <t>Localizar Construção e Locação Ltda</t>
  </si>
  <si>
    <t>271/2013</t>
  </si>
  <si>
    <t>1º TAD - Dotação Orçamentária 2014  3º TAD 06 Meses 5º TAD 06 Meses 6º TAD 06 meses 8º TAD - 90 dias</t>
  </si>
  <si>
    <t>Contrato rescindido.</t>
  </si>
  <si>
    <t>Serviços de pavimentação em TSD das Ruas: Roberto Almeida, Antonio Araújo dos Santos, Av. Radialista Aloísio Alves de Melo, Francisco de Holanda Cavalcante, Rua Projetada 1, Rua 19, Rua21, Rua 23,no bairro Francisco Figueira, Rua Ataulfo Alves, Dolores Duran. Trechoa da Rua Cantora Marines, Rua Projetada 01 e 02, no bairro Severiano Moraes Filho, neste município.</t>
  </si>
  <si>
    <t>1º  TAD - 04 Meses 2º TAD - 04 Meses 4 º TAD - 04 meses 5º TAD - 04 meses 6º TAD - 04 meses</t>
  </si>
  <si>
    <t>PAVIMENTAÇÃO EM PARALELEPÍPEDOS GRANITÍCOS COM MEIO-FIO</t>
  </si>
  <si>
    <t>Obras em unidades de saúde no município de Goiana (CTA-Centro de Triagem e Acolhimento, Centro médico Dentários Maria O. Gadelha (três Viuvas), Posto Médico Dentário de Atapuz, USF Catuama, Posto Médico Dentário Vieira de Menezes - Barra de Catuama, USF Ponta de Pedras, USF Flexeira, USF São Lourenço, CEREST e USF Nova Divisão)</t>
  </si>
  <si>
    <t>Barros e Araújo Engenharia Ltda</t>
  </si>
  <si>
    <t>SERVIÇO DE PAVIMENTAÇAO EM PARALELEPIPEDOS DA RUA DE CARNE DE VACA E DE PONTA DE PEDRAS</t>
  </si>
  <si>
    <t>CNPJ: 41.133.356/0001-80</t>
  </si>
  <si>
    <t>ENGEFERROS- INDUSTRIA COMERCIO E SRVIÇOS LTDA-EPP</t>
  </si>
  <si>
    <t>SERVIÇOS DE CONCLUSAO DE UMA CRECHE TIPO B NA NOVA GOIANA</t>
  </si>
  <si>
    <t>VASCONCELOS E MAGALHAES EMPREENDIMENTOS LTDA-ME</t>
  </si>
  <si>
    <t>CNPJ: 09.047.935/0001-06</t>
  </si>
  <si>
    <t>A3T CONSTRUÇOES E INCORPORAÇOES LTDA-EPP</t>
  </si>
  <si>
    <t>SERVIÇO DE CONSTRUÇAO DO ESPAÇO MULTIUSO</t>
  </si>
  <si>
    <t>CONSTRUTORA F &amp; COSTA LTDA -ME</t>
  </si>
  <si>
    <t>EMANUELLA CONSTRUÇOES LTDA-ME</t>
  </si>
  <si>
    <t>PAVIMENTAÇAO EM PARALELEPIPEDOS DA RUA DE CARNE DE VACA E PONTA DE PEDRAS NO MUNICIPIO DE GOIANA</t>
  </si>
  <si>
    <t>OGU</t>
  </si>
  <si>
    <t>SERVIÇOS INICIAIS DA PRAÇA LAURA NOGUEIRA</t>
  </si>
  <si>
    <t>CNPJ: 07.977.116/0001-24</t>
  </si>
  <si>
    <t>200/2015</t>
  </si>
  <si>
    <t xml:space="preserve">SERVIÇO DE REPOSIÇAO EM PAVIMENTAÇAO ASFALTICA </t>
  </si>
  <si>
    <t>CNPJ:12.209.627/0001-36</t>
  </si>
  <si>
    <t>RTS PEREIRA CONSTRUÇOES E SERVIÇOS EIRELLI- EPP</t>
  </si>
  <si>
    <t>224/2014</t>
  </si>
  <si>
    <t>TOMADA DE PREÇO 3/2013</t>
  </si>
  <si>
    <t>AMPLIACAO DA UNIDADE BASICA NA SEDE DO MUNICIPIO DE GRANITO</t>
  </si>
  <si>
    <t>2606302635178/10839</t>
  </si>
  <si>
    <t xml:space="preserve">333.850,00 </t>
  </si>
  <si>
    <t>SETA CONSTRUÇÕES LTDA</t>
  </si>
  <si>
    <t>PREGÃO PRESENCIAL 1/2015</t>
  </si>
  <si>
    <t>LOCAÇÃO DE UMA MAQUINA TIPO TRATOR DE PNEUS COM GRADE DE ARRASTO REBOCAVEL PARA PROMOVER ARAÇÃO DE TERRAS EM DIVERSAS LOCALIDADES DA ZONA RURAL</t>
  </si>
  <si>
    <t>JCS CONSTRUÇÕES LTDA</t>
  </si>
  <si>
    <t>TOMADA DE PREÇO 4/2015</t>
  </si>
  <si>
    <t>PERFURAÇÃO DE POÇOS ARTESIANOS NA ZONA RURAL DO MUNICIPIO</t>
  </si>
  <si>
    <t>17.667.450/0001-35</t>
  </si>
  <si>
    <t>GRANITO CONSTRUÇÕES E EMPREENDIMENTO</t>
  </si>
  <si>
    <t>TOMADA DE PREÇO 3/2012</t>
  </si>
  <si>
    <t>SERVIÇOS DE CONSTRUÇÃO DE MELHORIAS SANITARIAS DOMICILIARES NO MUNICIPIO DE GRANITO</t>
  </si>
  <si>
    <t>TC/PAC-0527/2011</t>
  </si>
  <si>
    <t xml:space="preserve">500.000,00 </t>
  </si>
  <si>
    <t>MODESTO CONSTRUÇÕES E ENGENHARIA</t>
  </si>
  <si>
    <t>Serviços de plenagem, pavimentação e drenagem de diversas ruas dos municipio de gravatá</t>
  </si>
  <si>
    <t>Ministério do Turismo - MTUR</t>
  </si>
  <si>
    <t>00.338.885/0005-67</t>
  </si>
  <si>
    <t>NOVATEC CONSTRUÇÕES EMPREENDIEMENTO LTDA</t>
  </si>
  <si>
    <t>Serviços de teraplenagem, pavimentação e drenagem deiversas ruas do municipio de Gravatá</t>
  </si>
  <si>
    <t>11.049.830/0001-20</t>
  </si>
  <si>
    <t>AGC CONSTRUÇÕES  EMPREENDIMENTOS LTDA</t>
  </si>
  <si>
    <t>Construção de uma Academia da Saúde  Bairro Nossa Senhora Aparecida.</t>
  </si>
  <si>
    <t>Minstério da Saúde</t>
  </si>
  <si>
    <t>10.433.608/0001-73</t>
  </si>
  <si>
    <t>FERNANDES MACHADO ENGENHARIA E ARQUITETURA LTDA-EPP</t>
  </si>
  <si>
    <t>057/2012</t>
  </si>
  <si>
    <t>READEQUAÇÃO DO TRÁFEGO DO CRUZAMENTO DA AVENIDA AMAURY DE MEDEIROS NO MUNICIPIO</t>
  </si>
  <si>
    <t>CONSTRUTORA BG EIRELI  EPP</t>
  </si>
  <si>
    <t>IMPLANTAÇÃO DO SISTEMA DE ESGOTAMENTO SANITARIO DA LOCALIDADE DE QUATI E AMPLIAÇÃO DOS SISTEMAS DAS LOCALIDADES DE BELA VISTA E SANTA ROSA DO MUNICÍPIO DE IATI/PE</t>
  </si>
  <si>
    <t>FUNDAÇÃO NACIONAL DE SAÚDE - DF</t>
  </si>
  <si>
    <t>AGRESTE PROJETOS E SERVIÇOS DE LOCAÇÃO LTDA - EPP</t>
  </si>
  <si>
    <t>PROCESSO Nº 050/12 - CONCORRÊNCIA 001/12</t>
  </si>
  <si>
    <t>150 DIAS</t>
  </si>
  <si>
    <t>em execução</t>
  </si>
  <si>
    <t>Execução de serviços de meio fio, linha d'água e pontilhão da estrada de Santa Luzia</t>
  </si>
  <si>
    <t>Construtora Albino Teixeira Ltda.</t>
  </si>
  <si>
    <t>222/2014</t>
  </si>
  <si>
    <t>Pavimentação da rua Santa Marina no Sítio dos Marcos (LOTE VII)</t>
  </si>
  <si>
    <t>054/2014</t>
  </si>
  <si>
    <t>CONSTRUÇÃO DA PRAÇA DE ESPORTE E CULTURA</t>
  </si>
  <si>
    <t>MINISTERIO DA CULTURA/CAIXA</t>
  </si>
  <si>
    <t>064/2012</t>
  </si>
  <si>
    <t>SECID – SECRETARIA DAS CIDADES</t>
  </si>
  <si>
    <t>PAVIMENTAÇÃO EM PARALELEPIPEDOS GRANITICOS COM MEIO FIO DAS RUAS : CARAVELAS,  POR DO SOL, JOÃO DE BRITO, JOENVILE,  LOSANGELES, JOSE MATIAS, 1ª, 2ª, 3ª E 4ª TRAV. DO SITIO BOM JESUS, RUA SITIO BOM JESUS, RUA JOSE EUDES MONTEIRO DE BARROS, RUA TOM JOBIM.</t>
  </si>
  <si>
    <t>30.235,55</t>
  </si>
  <si>
    <t>PAVIMENTAÇÃO EM PARALELEPIPEDOS GRANITICOS COM MEIO FIO DAS RUAS : CRUZ DE MALTA, SERRA TALHADA, TIMBAUBA E SÃO LOURENÇO DA MATA.</t>
  </si>
  <si>
    <t>CR 002304/2014</t>
  </si>
  <si>
    <t>10.565.363/0001-04</t>
  </si>
  <si>
    <t>CONSTRUTORA SOLO LTDA – ME</t>
  </si>
  <si>
    <t>PAVIMENTAÇÃO EM PARALELEPIPEDOS GRANITICOS COM MEIO FIO DAS RUAS : CANHOTINHO, CARUARU, DES. ANGELO VASCONCELOS FILHO, GIRASSOL, POSIDÔNIO J. DE LIMA E ARARAS.</t>
  </si>
  <si>
    <t>CR 001762/2014</t>
  </si>
  <si>
    <t>1.330.875,00.</t>
  </si>
  <si>
    <t>IG CONSTRUTORA LTDA – ME</t>
  </si>
  <si>
    <t>085/2015</t>
  </si>
  <si>
    <t>TP 0062015</t>
  </si>
  <si>
    <t>SERVIÇOS DE ENGENHARIA PARA COMPLEMENTO DE PAVIMENTAÇÃO EM PARALELOS GRANITICOS COM MEIO FIO EM CONCRETO NAS RUAS : VALDIR PESSOA, SAUDADE, TANCREDO NEVES E AIYTON SENA.</t>
  </si>
  <si>
    <t>16.819.638/0001-99</t>
  </si>
  <si>
    <t>AP CONSTRUÇÕES LTDA – ME</t>
  </si>
  <si>
    <t>CC – 001/2012</t>
  </si>
  <si>
    <t>TC – 363.417.96/2012/PE</t>
  </si>
  <si>
    <t>T &amp; S ENGENHARIA LTDA – EPP</t>
  </si>
  <si>
    <t>TP – 005/2015</t>
  </si>
  <si>
    <t>CONSTRUÇÃO DE UMA QUADRA ESPORTIVA COBERTA COM VESTUÁRIO NO RIO AMBAR</t>
  </si>
  <si>
    <t>CR – Nº 101.4818/2015</t>
  </si>
  <si>
    <t>WALTER L. DA SILVA</t>
  </si>
  <si>
    <t>7.322,38</t>
  </si>
  <si>
    <t>Execução dos serviços de operação, manutenção e conservação dos sistemas de abastecimento de água de pequenas comunidade e dos prédios públicos.</t>
  </si>
  <si>
    <t>CIFRA ENGENHARIA E SERVIÇOS LTDA</t>
  </si>
  <si>
    <t>008/2011</t>
  </si>
  <si>
    <t>30.05.2016</t>
  </si>
  <si>
    <t>3.3.90.39 / 4.4.90.51</t>
  </si>
  <si>
    <t>encerrado</t>
  </si>
  <si>
    <t>CONSTRUTORA ANDRADE GUEDES</t>
  </si>
  <si>
    <t>CP 010/2015</t>
  </si>
  <si>
    <t xml:space="preserve">EXECUÇÃO DAS OBRAS DE RECAPEAMENTO ASFALTICO DE DIVERSAS RUAS NOS DISTRITOS DE IPOJUCA(SEDE), SERRAMBI, CAMELA E NOSSA SENHORA DO Ó, DO MUNICÍPIO DO IPOJUCA-PE, </t>
  </si>
  <si>
    <t>LIDERMAC CONSTRUÇÕES E EQUIPAMENTOS LTDA</t>
  </si>
  <si>
    <t>4.4.90,51</t>
  </si>
  <si>
    <t>paralizado</t>
  </si>
  <si>
    <t>FRF ENGENHARIA LTDA</t>
  </si>
  <si>
    <t>CP 001/2014</t>
  </si>
  <si>
    <t xml:space="preserve">Execução de obras e serviços de controle de erosão estabilização de solos, drenagem e monitoramento pós obra através do fornecimento e aplicação de polímero acrílico denominado revestimento polimérico a serem executados em áreas de risco no Município do Ipojuca  </t>
  </si>
  <si>
    <t>L&amp;R SANTOS CONSTRUÇÕES LTDA EPP</t>
  </si>
  <si>
    <t>Execução das obras e Serviços de Construção de 02 (duas)  Escolas públicas em Porto de Galinhas deste município.</t>
  </si>
  <si>
    <t>REFINARIA ABREU E LIMA S.A.</t>
  </si>
  <si>
    <t>02.456.950/0001-50</t>
  </si>
  <si>
    <t>CONSTRUCIFE</t>
  </si>
  <si>
    <t>137/11</t>
  </si>
  <si>
    <t>CP 028/2014</t>
  </si>
  <si>
    <t>EXECUÇÃO DAS OBRAS DE PERFURAÇÃO DE POÇOS TUBULARES EM MEIO CRISTALINO FISSURADO, INCLUSIVE ELABORAÇÃO DE PERFIL GEOFÍSICO, ANÁLISE FÍSICO QUIÍMICA DA ÁGUA E OBRAS COMPLEMENTARES RELATIVAS Á PERFURAÇÃO DESSES POÇOS.</t>
  </si>
  <si>
    <t>VIA TÉCNICA CONSTRUÇÕES E SERVIÇOS LTDA.</t>
  </si>
  <si>
    <t>Execução das obras e serviços de conclusão do Complexo Educacional Desportivo Pedro Serafim de Souza, em Ipojuca-Sede, correspondente ao Lote 01: Conclusão das Obras do Ginásio e complementares.</t>
  </si>
  <si>
    <t>USINA DE OBRAS EMPREENDIMENTOS LTDA.</t>
  </si>
  <si>
    <t>126/12</t>
  </si>
  <si>
    <t>Construção de 01 (um) mercado Público e 06 (seis) quiosques duplos em Ipojuca-sede</t>
  </si>
  <si>
    <t>019/11</t>
  </si>
  <si>
    <t>Execução das obras e serviços de conclusão do Complexo Educacional Desportivo Pedro Serafim de Souza, em Ipojuca-Sede, correspondente ao Lote 02: Fornecimento e Montagem da Estrutura Metálica e Coberta do Ginásio.</t>
  </si>
  <si>
    <t>CONTRATAÇÃO EMERGENCIAL DE EMPRESA NA ÁREA DE ENGENHARIA PARA EXECUÇÃO DAS OBRAS DE CONCLUSÃO DA REFORMA E AMPLIAÇÃO DA MATERNIDADE DO HOSPITAL SANTO CRISTO, LOCALIZADO NA RUA JOSÉ BONIFÁCIO, S/N, IPOJUCA-CENTRO.</t>
  </si>
  <si>
    <t>09.391.912/0001-06</t>
  </si>
  <si>
    <t>BLB ENGENHARIA LTDA</t>
  </si>
  <si>
    <t>Contratação de empresa especializada na área de engenharia para execução de obras de implantação, pavimentação e drenagem do  novo traçado de acesso ao Pontal de Maracaípe</t>
  </si>
  <si>
    <t>PONTO FORTE CONSTRUÇÕES E EMPREENDIMENTOS LTDA</t>
  </si>
  <si>
    <t>166/2013</t>
  </si>
  <si>
    <t>EXECUÇÃO DAS OBRAS DE PAVIMENTAÇÃO DA VIA DE ACESSO AO MUNICÍPIO DO IPOJUCA, ATRAVES DA RUA DA FEIRA E RUA DO COMÉRCIO</t>
  </si>
  <si>
    <t>213/2014</t>
  </si>
  <si>
    <t>Execução de Obras e Serviços de Reforma e Ampliação da Maternidade do Hospital Santo Cristo.</t>
  </si>
  <si>
    <t>08.878.019.0001/47</t>
  </si>
  <si>
    <t>JAG EMPREENDIMENTOS LTDA</t>
  </si>
  <si>
    <t>216/2013</t>
  </si>
  <si>
    <t>Construção de Escola Municipal na localidade de Serrambi, em Ipojuca -Sede.</t>
  </si>
  <si>
    <t>04.297.655/0001-24</t>
  </si>
  <si>
    <t>VIRTUAL ENGENHARIA LTDA</t>
  </si>
  <si>
    <t>049/11</t>
  </si>
  <si>
    <t>Execução das obras de requalificação da praça José Mário de Santana, localizada em Nossa Senhora do Ó, Ipojuca - PE</t>
  </si>
  <si>
    <t>EXECUÇÃO DA OBRA DE IMPLANTAÇÃO DE UM CAMPO DE FUTEBOL EM RUROPOLIS - IPOJUCA - PE.</t>
  </si>
  <si>
    <t>293/2014</t>
  </si>
  <si>
    <t>Execução de obras de requalificação de 06 praças  no Município do Ipojuca - Lote 2</t>
  </si>
  <si>
    <t>Execução de obras de reforma e ampliaçao do Posto de Saúde da Família(PSF) - Engenho Maranhão, no Município do Ipojuca</t>
  </si>
  <si>
    <t>CONSTRUTORA SAM  LTDA.</t>
  </si>
  <si>
    <t>05.834.520/0001-13</t>
  </si>
  <si>
    <t>Execução de obras de requalificação de 06 praças  no Município do Ipojuca - Lote 1</t>
  </si>
  <si>
    <t>Execução de serviços de contenção de encostas, drenagem e pavimentação da Travessa Campo do Avião, passeio e escadaria de acesso, no Distrito de Ipojuca Sede, Ipojuca-PE</t>
  </si>
  <si>
    <t>CC ESTRADA CONSTRUTORA LTDA</t>
  </si>
  <si>
    <t>Execução de obras de requalificação de 06 praças  no Município do Ipojuca - Lote 3</t>
  </si>
  <si>
    <t>133/2014</t>
  </si>
  <si>
    <t>PAVIMENTAÇÃO DIVERSAS RUAS PEDRO PEREIRA LIMA E JOSÉ LINO</t>
  </si>
  <si>
    <t>MIN. DAS CIDADES – CAIXA ECONÔMICA FEDERAL</t>
  </si>
  <si>
    <t>ADM. LARANJEIRA LTDA</t>
  </si>
  <si>
    <t>2011</t>
  </si>
  <si>
    <t>PORTAL DE ENTRADA DO MUNICÍPIO</t>
  </si>
  <si>
    <t>MIN. TURISMO – CAIXA ECONÔMICA FEDERAL</t>
  </si>
  <si>
    <t>70.235.809/0001-88</t>
  </si>
  <si>
    <t>LAROCERIE CONSTRUÇÃO E PROJETOS LTDA</t>
  </si>
  <si>
    <t>CONSTRUÇÃO DE QUADRA POLI ESPORTIVA</t>
  </si>
  <si>
    <t>MIN. ESPORTE – CAIXA ECONÔMICA FEDERAL</t>
  </si>
  <si>
    <t>Construção do espaço de Educação Infantil - Proinfância tipo C, padrão FNDE</t>
  </si>
  <si>
    <t xml:space="preserve">CONTRATAÇÃO DE EMPRESA ESPECIALIZADA DE ENGENHARIA, PARA CONSTRUÇÃO DE QUADRA POLIESPORTIVA COBERTA COM VESTIÁRIO  </t>
  </si>
  <si>
    <t>11.622.715/0001-00</t>
  </si>
  <si>
    <t xml:space="preserve">CONSTRUTORA E SERVIÇOS DE LIMPEZA C.R.C. – LTDA-ME </t>
  </si>
  <si>
    <t>004/14</t>
  </si>
  <si>
    <t>REALIZAÇÃO DOS SERVIÇOS DE PINTURA NAS ESCOLAS MUNICIPAIS</t>
  </si>
  <si>
    <t>IG CONSTRUTORA LTDA</t>
  </si>
  <si>
    <t>60/2014</t>
  </si>
  <si>
    <t>27/12/2014</t>
  </si>
  <si>
    <t>CONSTRUÇÃO DE ESCOLAS COM 06 SALAS DE AULA</t>
  </si>
  <si>
    <t>05.130.063/0001-86</t>
  </si>
  <si>
    <t>DELPHI SERVIÇOS E COMERCIO LTDA</t>
  </si>
  <si>
    <t>232/2014</t>
  </si>
  <si>
    <t>CONSTRUÇÃO DE GALERIAS NA SEDE DO MUNICÍPIO</t>
  </si>
  <si>
    <t>231/2014</t>
  </si>
  <si>
    <t>CONSTRUÇÃO DE UBS NO LOTEAMENTO AGROVILA</t>
  </si>
  <si>
    <t>FUNDO MUNICIPAL DE SAÚDE DE ITAQUITINGA</t>
  </si>
  <si>
    <t>PAVIMENTAÇÃO E ABASTECIMENTO D'AGUA NO DISTRITO DE CAROBÉ DE BAIXO</t>
  </si>
  <si>
    <t>13.962.001/0001-53</t>
  </si>
  <si>
    <t>BARROS CONSTRUÇÕES E SERVIÇOS LTDA.</t>
  </si>
  <si>
    <t>2152014</t>
  </si>
  <si>
    <t>REPOSIÇÃO DE CALÇAMENTO EM DIVERSAS RUAS DO MUNICÍPIO</t>
  </si>
  <si>
    <t>209/2014</t>
  </si>
  <si>
    <t xml:space="preserve">Proc. Adm. 014/2016. adesão nº 002/2016 à ata de Registro de preços vinculada ao pregão Presencial nº 005/15 realizada pelo DETRAN </t>
  </si>
  <si>
    <t>serviços de sinalização gráfica horizontal e vertical de trânsito.</t>
  </si>
  <si>
    <t>08439201/0001-00</t>
  </si>
  <si>
    <t>SINALIZADORA NACIONAL LTDA</t>
  </si>
  <si>
    <t xml:space="preserve"> 33.90.39</t>
  </si>
  <si>
    <t>CONC. Nº.
003/2008,
PROCESSO
ADM. Nº. 103/2008</t>
  </si>
  <si>
    <t>CONSTRUÇÃO DE 16 BLOCOS, NUM TOTAL DE
256 UNIDADES HABITACIONAIS, 01 CRECHE, 01
CENTRO COMUNITÁRIO, 01 QUADRA
POLIESPORTIVA. OBRAS DE INFRAESTRUTURA:
ABASTECIMENTO D'ÁGUA, ESGOTAMENTO
SANITÁRIO, DRENAGEM, PAVIMENTAÇÃO E
ILUMINAÇÃO PÚBLICA NO ATERRO LOCALIZADOS NA RUA INDEPENDÊNCIA, BARRA
DE JANGADA - 1º. DISTRITO - JABOATÃO DOS
GUARARAPES.</t>
  </si>
  <si>
    <t>0256776-
85/2008/MC/C
EF</t>
  </si>
  <si>
    <t>CAIXA
ECONÔMICA
FEDERAL</t>
  </si>
  <si>
    <t>DIRECTA
ENGENHARIA &amp;
PROJETOS LTDA</t>
  </si>
  <si>
    <t>005/2013</t>
  </si>
  <si>
    <t>(-)</t>
  </si>
  <si>
    <t>Processo Administrativo Nº 047/2012 - Concorrência Nº 015/2012</t>
  </si>
  <si>
    <t xml:space="preserve">Contratação de Empresa especializada para Construção da Escola Municipal e Creche Medalha Milagrosa no Municipio do Jaboatão dos Guararapes. </t>
  </si>
  <si>
    <t>11.864.311/0001-15</t>
  </si>
  <si>
    <t xml:space="preserve">SBC - Sociedade Brasileira de Construções Ltda </t>
  </si>
  <si>
    <t>009/2013 - SEDES</t>
  </si>
  <si>
    <t>( - )</t>
  </si>
  <si>
    <t>11.868.307/0001-25</t>
  </si>
  <si>
    <t>Multiset Engenharia Ltda</t>
  </si>
  <si>
    <t>Obra em andamento</t>
  </si>
  <si>
    <t>Processo Administrativo Nº 022/2015- Concorrência   Nº 009/2015</t>
  </si>
  <si>
    <t>Contratação de Empresa Especializada para a construção de quatro quadras nas escolas JOSEFA BATISTA, MAURICIO MARTINS, ANIBAL VAREJÃO e POETA CASTRO ALVES No Município do Jaboatão dos Guararapes -PE. (LOTES II).</t>
  </si>
  <si>
    <t>086/2015 – SEDEMS</t>
  </si>
  <si>
    <t>PARALISADO: 06/05/2016</t>
  </si>
  <si>
    <t>1° TA 210 DIAS</t>
  </si>
  <si>
    <t>Contratação de Empresa Especializada para a construção de quatro quadras nas escolas JOSEFA BATISTA, MAURICIO MARTINS, ANIBAL VAREJÃO e POETA CASTRO ALVES No Município do Jaboatão dos Guararapes -PE. (LOTES I).</t>
  </si>
  <si>
    <t>087/2015 – SEDEMS</t>
  </si>
  <si>
    <t>Processo Administrativo Nº 003/2013 - Concorrência   Nº 002/2013</t>
  </si>
  <si>
    <t>Contratação de Serviços Especializados de Engenharia para Construção de 01 Maternidade no Município e Jaboatão dos Guararapes.</t>
  </si>
  <si>
    <t>Trópicos  Engenharia e Comércio Ltda</t>
  </si>
  <si>
    <t>024/2013 - SESAU</t>
  </si>
  <si>
    <t>3° TA 06/02/2017</t>
  </si>
  <si>
    <t>Processo Licitatório nº 038/2015 - Concorrência nº 014/2015</t>
  </si>
  <si>
    <t xml:space="preserve">Contratação de Empresa Especializada para Execução da Obra de Revitalização do Mercado Público de Cavaleiro localizado no Município do Jaboatão dos Guararapes -PE. </t>
  </si>
  <si>
    <t>Santa Cruz Construções Ltda</t>
  </si>
  <si>
    <t xml:space="preserve">008/2016 - SEDURBS </t>
  </si>
  <si>
    <t>2° TA 27/06/2017</t>
  </si>
  <si>
    <t>Processo Licitatório Nº 012/2015 - Concorrência Nº 003/2015</t>
  </si>
  <si>
    <t>Contratação de Empresa Especializada na prestação de serviços de Complementação das obras de Reforma e Ampliação das Unidades de Saúde: USF Maria de Souza Ramos, USF José Coelho Pereira E Centro de Vigilância Ambiental - CVA no Município do Jaboatão dos Guararapes.</t>
  </si>
  <si>
    <t>L&amp;R Santos Construções Ltda - EPP</t>
  </si>
  <si>
    <t>037/2015 - SESAU</t>
  </si>
  <si>
    <t xml:space="preserve">1º T.A. - 180 DIAS </t>
  </si>
  <si>
    <t>44.90.51  e  30.90.39</t>
  </si>
  <si>
    <t>Processo Licitatório nº 009/2015 - Concorrência nº 002/2015</t>
  </si>
  <si>
    <t xml:space="preserve">Contratação de Empresa Especializada para Execução na prestação de serviços de complementação das obras de complementação das obras de construção da praça dos esportes e da cultura de Dois Carneiros no Município do Jaboatão dos Guararapes. </t>
  </si>
  <si>
    <t>Porto da Construção LTDA</t>
  </si>
  <si>
    <t>088/2015 – SEDEMS</t>
  </si>
  <si>
    <t>Directa Engenharia &amp; Projetos  Ltda</t>
  </si>
  <si>
    <t>Processo Administrativo Nº 027/2014- Concorrência   Nº 010/2014</t>
  </si>
  <si>
    <t>Contratação de Empresa Especializada na prestação de Terraplanagem de diversos Terrenos e  Espaços Públicos do Município do Jaboatão dos Guararapes -PE. (LOTES II).</t>
  </si>
  <si>
    <t xml:space="preserve">Luz Engenharia Ltda  </t>
  </si>
  <si>
    <t xml:space="preserve">009/2015 - SEDEMS </t>
  </si>
  <si>
    <t>33.90.39 e 44.90.51</t>
  </si>
  <si>
    <t xml:space="preserve">Contratação de Empresa Especializada na prestação de Terraplanagem de diversos Terrenos e  Espaços Públicos do Município do Jaboatão dos Guararapes -PE. </t>
  </si>
  <si>
    <t>CONSTUTORA SBM LTDA</t>
  </si>
  <si>
    <t>16/2015 – SEDEMS</t>
  </si>
  <si>
    <t>44.90.51 e 33.90.39</t>
  </si>
  <si>
    <t>Processo Licitatório nº 015/2015 - Concorrência nº 006/2015</t>
  </si>
  <si>
    <t>Contratação de Empresa Especializada para a Construção do Ginásio de Esportes a ser implantado na Avenida Manoel Rabelo, S/N no Município do Jaboatão dos Guararapes.</t>
  </si>
  <si>
    <t xml:space="preserve">049/2015 - SEDEMS </t>
  </si>
  <si>
    <t>Processo Licitatório Nº 016/2015- Concorrência Nº 007/2015</t>
  </si>
  <si>
    <t xml:space="preserve">Contratação de Empresa Especializada para Construção do Centro de Iniciação ao Esporte - CIE, a ser implantado na Juriti, Quadra - 2C, Loteamento Jardim Nossa Senhora das Graças, Sotave, no Município do Jaboatão dos Guararapes -PE. </t>
  </si>
  <si>
    <t xml:space="preserve">050/2015 - SEDEMS        </t>
  </si>
  <si>
    <t>CC nº 009/2011 Processo Administrativo nº 058/2010</t>
  </si>
  <si>
    <t>Contratação de serviços Especializados de engenharia de obras de macro drenagem para contenção de inundações e deságuos finais da bacia do rio Jaboatão, compreendendo o revestimento dos canais, quatro de outubro, cajueiro seco, nova Divineia, Aritana garapeira e Rio da Velhas, nas regionais 05 e 06 do Município do Jaboatão dos Guararapes.</t>
  </si>
  <si>
    <t>74783/2010</t>
  </si>
  <si>
    <t>União Federal por intermédio do Ministério da Integração Nacional através da Secretaria de Infra-estrutura Hídrica.</t>
  </si>
  <si>
    <t>CONSTRUTORA       ANCAR  LTDA</t>
  </si>
  <si>
    <t>023/2011-SEO-1</t>
  </si>
  <si>
    <t>01/03/2016</t>
  </si>
  <si>
    <t>PARALISAÇÃO “SINE DIE”</t>
  </si>
  <si>
    <t>0351044/2011</t>
  </si>
  <si>
    <t>União Federal por intermédio do Ministério das Cidades/ Caixa Econômica Federal.</t>
  </si>
  <si>
    <t>023/2011-SEO-2</t>
  </si>
  <si>
    <t>04/10/2016</t>
  </si>
  <si>
    <t>Dispenda nº. 018/2011 Processo Administrativo nº 065/2011</t>
  </si>
  <si>
    <t>Contratação de Empresa Especializada para Execução de serviços Emergenciais de Engenharia para Estabilização de encostas, reconstrução de drenagens, construção de drenagens, construção de passeios e escadarias nos morros: Travessa dois de Dezembro,jaboatão dos Guararapes.</t>
  </si>
  <si>
    <t>4105046/0001-17</t>
  </si>
  <si>
    <t>COLMEIA ARQUITETURA ENGENHARIA LTDA.</t>
  </si>
  <si>
    <t xml:space="preserve">Processo Administrativo Nº 005/2012  Concorrência Nº002/2012 </t>
  </si>
  <si>
    <t>Contratação de empresa de engenharia para estabilização de áreas de riscos de deslizamento de encostas em (10) dez setores: ur6-3 (zumbi do Pacheco), ur11 (zumbi do Pacheco), adb-2 (alto do bartolomeu/cavaleiro),  ass-11 (alto são sebastião), vsj-4 (vila s</t>
  </si>
  <si>
    <t>0351549-39/2642</t>
  </si>
  <si>
    <t>União Federal por intermédio do Ministério das Cidades</t>
  </si>
  <si>
    <t>1.584.923,41</t>
  </si>
  <si>
    <t>07.157.925/0001-96</t>
  </si>
  <si>
    <t>WB CONTRUTORA LTDA.</t>
  </si>
  <si>
    <t>007/2012-SEO</t>
  </si>
  <si>
    <t>7.466.368,64</t>
  </si>
  <si>
    <t>Processo Administrativo nº 018/2013 Concorrência nº 007/2013</t>
  </si>
  <si>
    <t>0402318-30/2012</t>
  </si>
  <si>
    <t>50.000.000,00</t>
  </si>
  <si>
    <t>698.532,39</t>
  </si>
  <si>
    <t>Contratação de Empresa Especializada para Prestação de Serviços de Engenharia Para Estabilização de Áreas de Risco de Deslizamentos nos 26(vinte e seis) Setores do Plano Municipal de Redução de Riscos no Município do Jaboatão dos Guararapes. (Lote 02)</t>
  </si>
  <si>
    <t>MF ENGENHARIA E EQUIPAMENTOS LTDA.</t>
  </si>
  <si>
    <t>012/2013-SEINFRA</t>
  </si>
  <si>
    <t xml:space="preserve">10.298.756,54 </t>
  </si>
  <si>
    <t>TERMO DE RESCISÃOAMIGAVÉL  ASSINADO EM 03/03/2016</t>
  </si>
  <si>
    <t>Recesso Administrativo nº 001/2014 Tomada de Preços nº 001/2014</t>
  </si>
  <si>
    <t>Contratação de Empresa para Execução de serviços de Melhoria nas Escadarias e Contenção das Ruas Antônio Aprígio de Medeiros (Santo Aleixo), Floriano Peixoto (Socorro), Dom João VI(Santo Aleixo),, 1ª Travessa da Rua 01(UR-11), Rua do Marco(Pacheco), Gaspar Uchoa(Sucupira), Augusto Souza Leão (Sucupira) e Manoel Carneiro Leão (Dois Carneiro) no Município do Jaboatão dos Guararapes.</t>
  </si>
  <si>
    <t>JFE PROJETOS E EMPREEMENTOS LTDA.</t>
  </si>
  <si>
    <t>509.347,56</t>
  </si>
  <si>
    <t>CC 002/2011 Processo Administrativo nº 006/2011</t>
  </si>
  <si>
    <t>Contratação de empresa especializada de engenharia para executar obras e serviços de pavimentação das ruas integrantes das regionais 1,2,3,4,5 e 6 do sistema viário do Município do Jaboatão dos Guararapes, LOTE 4.</t>
  </si>
  <si>
    <t>021/2011 - SEO</t>
  </si>
  <si>
    <t>68.820.715,03</t>
  </si>
  <si>
    <t>31.12.2015</t>
  </si>
  <si>
    <t>Processo Administrativo nº 040/2013 CC  nº 014/2013</t>
  </si>
  <si>
    <t>Contratação de empresa especializada para serviços de execução de pavimentação e drenagem da rua Andaraí e Tancredo neves no entorno do conjunto flor do Carmelo no município do Jaboatão dos Guararapes.</t>
  </si>
  <si>
    <t>027/2013</t>
  </si>
  <si>
    <t>30.05.2015</t>
  </si>
  <si>
    <t>Processo Administrativo nº 008/2015 Tomada de Preçosnº001/2015</t>
  </si>
  <si>
    <t>Contratação de Empresa Especializada para Execução dos serviços de Pavimentação e Drenagem das Ruas: Químico Antônio Victor, Kleber de Andrade e Antônio Carlos Zazar em Candeias, no Município do Jaboatão dos Guararapes – LOTE I.</t>
  </si>
  <si>
    <t>792652/2013</t>
  </si>
  <si>
    <t>Ministério das Cidades/Caixa Econômica Federal</t>
  </si>
  <si>
    <t>011/2015 SEINFRA</t>
  </si>
  <si>
    <t>PARALISADO “SINE DIE”</t>
  </si>
  <si>
    <t>Contratação de Empresa Especializada para Execução dos serviços de Pavimentação e Drenagem das Ruas: Químico Antônio Victor, Kleber de Andrade e Antônio Carlos Zazar em Candeias, no Município do Jaboatão dos Guararapes – LOTE II.</t>
  </si>
  <si>
    <t>012/2015 SEINFRA</t>
  </si>
  <si>
    <t>Processo Administrativo nº 037/2015  Concorrência nº013/2016</t>
  </si>
  <si>
    <t>Contratação ede Empresa de Engenharia para Execução de Serviços de Pavimentação e Drenagem da Rua Antônio Carlos Zazar no Município do Jaboatão dos Guararapes.</t>
  </si>
  <si>
    <t>002/2016 SEINFRA</t>
  </si>
  <si>
    <t>Processo Administrativo nº 003/2016  Tomada de Preço nº002/2016</t>
  </si>
  <si>
    <t>Contratação de Empresa Especializada para Execução de Serviços de Pavimentação e Drenagem na Rua Carmem Chaves (2ª ETAPA), Localizado na Muribeca no Município do Jaboatão dos Guararapes.</t>
  </si>
  <si>
    <t>0375492-73/2011</t>
  </si>
  <si>
    <t>Ministério do Turismo /Caixa</t>
  </si>
  <si>
    <t>KAENA CONSTRUÇÕES LTDA – EPP</t>
  </si>
  <si>
    <t>008/2016 SEINFRA</t>
  </si>
  <si>
    <t>Processo Administrativo nº 007/2016  Concorrência nº002/2016</t>
  </si>
  <si>
    <t>Contratação de Empresa Especializada para Execução de Serviços de Urbanização, Pavimentação, Drenagem, Aecessibilidade e Sinalização das Ruas Chapadinha do Tum Tum, 02, Gonzagão, Itaituba, Jangadeiro, Princial e São José, Localizadas em diversos Bairros do Municipio do Jaboatão dos Guararapes.</t>
  </si>
  <si>
    <t>Fundo Estadual de Apoio ao Desenvolvimento – FEM</t>
  </si>
  <si>
    <t>CONSTRUTORA EVIDÊNCIA – LTDA</t>
  </si>
  <si>
    <t>009/2016 SEINFRA</t>
  </si>
  <si>
    <t>Processo Administrativo nº 006/2016  PP nº 002/2016</t>
  </si>
  <si>
    <t>Contratação de Empresa Especializada para Execução de Serviços de Revitalização do Centro Adensado de Prazeres – Av. General Barreto de Menezes.</t>
  </si>
  <si>
    <t>UNIVERSO EMPREENDIMENTO EIRELI</t>
  </si>
  <si>
    <t>011/2016 SEINFRA</t>
  </si>
  <si>
    <t>Contratação Direta de Empresa para Execução de Remanescente de Obra (Reformas de Unidades Integrantes da Rede Municipal de Saúde do Munícipio de Jaboatão dos Guararapes).</t>
  </si>
  <si>
    <t>JPR Construções Ltda</t>
  </si>
  <si>
    <t>020/2013 - SESAU</t>
  </si>
  <si>
    <t>Contratação de Empresa especializada para Execução de Serviços de Reforma do Núcleo de Mobilização Regional de Jaboatão Centro - Regional 01, no Município do Jaboatão dos Guararapes</t>
  </si>
  <si>
    <t>045/2011 - SEO</t>
  </si>
  <si>
    <t>Pavimentação e Drenagem nas Ruas Floresta e Gravatá, em Vista Alegre, Nossa Senhora dos Prazeres, em Jardim Jordão, Lindo Amor, em Guararapes e da Rua Carmem Chaves, no Bairro da Muribeca n</t>
  </si>
  <si>
    <t>União Federal por intermédio do Ministério do Turismo/ Caixa Econômica Federal</t>
  </si>
  <si>
    <t xml:space="preserve">Contratação de Serviços especializados para Reestruturação do Centro de Processamento de Dados localizado no Prédio Sede da Prefeitura do Jaboatão dos Guararapes. </t>
  </si>
  <si>
    <t>17.832.351/0001/61</t>
  </si>
  <si>
    <t>SL Construções e Edificações Ltda - ME</t>
  </si>
  <si>
    <t>015/2014 - SEINFRA</t>
  </si>
  <si>
    <t xml:space="preserve">Contratação de serviços especializados para Reforma da Quadra Poliesportiva - Curado I, no Município do Jaboatão dos Guararapes. </t>
  </si>
  <si>
    <t>07.597.348/0001-57</t>
  </si>
  <si>
    <t xml:space="preserve">Nordeste Comércio de Materiais de Construção e Serviços em Geral Ltda.  </t>
  </si>
  <si>
    <t>007/2013 - SEINFRA</t>
  </si>
  <si>
    <t>Contratação de Empresa Especializada para execução dos serviços de Reforma e Reestruturação da Quadra da Antiga Escola Piaget no Município do Jaboatão dos Guararapes</t>
  </si>
  <si>
    <t>Panorâmica Serviços de Construção Civil e Comércio de Materiais de Construção Ltda</t>
  </si>
  <si>
    <t>040/2013 - SEPSI</t>
  </si>
  <si>
    <t>TOMADA DE PREÇOS 001/2012</t>
  </si>
  <si>
    <t>CONSTRUÇÃO DO CENTRO DE CULTURA</t>
  </si>
  <si>
    <t>304.348-10/2009</t>
  </si>
  <si>
    <t>CEF/MINISTÉRIO DO TURISMO</t>
  </si>
  <si>
    <t>44.90,51</t>
  </si>
  <si>
    <t>TOMADA DE PREÇOS 03/2010</t>
  </si>
  <si>
    <t>PAVIMENTAÇÃO EM PARALELEPÍPEDOS GRANITICOS DO SÍTIO BRUM</t>
  </si>
  <si>
    <t>CV- 2.051.10-0/10</t>
  </si>
  <si>
    <t>SECRETARIA DE TRANSPORTES DO GOVERNO ESTADO DE PE - SETRA</t>
  </si>
  <si>
    <t>PARALISADA AGUARDANDO TRANSFERENCIA DE RECURSOS</t>
  </si>
  <si>
    <t>XXX/XXX</t>
  </si>
  <si>
    <t>CONSTRUÇÃO DE PRIVADAS HIGIENICAS</t>
  </si>
  <si>
    <t>SICONV 72713/2013</t>
  </si>
  <si>
    <t xml:space="preserve">FUNASA </t>
  </si>
  <si>
    <t>AGUARDA LIBERAÇÃO DA FUNASA</t>
  </si>
  <si>
    <t>CONSTRUÇÃO DE UMA CRECHE TIPO B</t>
  </si>
  <si>
    <t>AGUARDA PROCESSO LICITATÓRIO</t>
  </si>
  <si>
    <t xml:space="preserve">CONSTRUÇÃO DE UNIDADE BÁSICA DE SAÚDE (UBS) </t>
  </si>
  <si>
    <t>02/2014</t>
  </si>
  <si>
    <t>PAVIMENTAÇÃO DE PARALELEPIPEDO GRANÍTICO NAS RUAS GOIANA,FLORES E TRECHO DA AV. OLINDA</t>
  </si>
  <si>
    <t>05.417.744/0001-20</t>
  </si>
  <si>
    <t>CONSTRUTORA SÃO JORGE LTDA</t>
  </si>
  <si>
    <t>19/2014</t>
  </si>
  <si>
    <t>CONST. DE QUADRA ESCOLAR, COBERTA COM VESTIÁRIO, PARA ESCOLA MUNICIPAL DJANIRA DÓRIA NO MUNICIPIO</t>
  </si>
  <si>
    <t>GOVERNO FEDERAL – FNDE</t>
  </si>
  <si>
    <t>15.191.007/0001-05</t>
  </si>
  <si>
    <t>D &amp; L CONSTRUÇÕES E EMPREENDIMENTOS</t>
  </si>
  <si>
    <t>63/2014</t>
  </si>
  <si>
    <t>Obra paralisada.</t>
  </si>
  <si>
    <t>083/2014</t>
  </si>
  <si>
    <t>PRESTAÇÃO DE SERVIÇOS DA MEDIÇAO DO ADITIVO DA CONSTRUÇÃO DO CENTRO COMUNITARIO DO MUNICIPIO DE JATOBÁ</t>
  </si>
  <si>
    <t>PM JATOBÁ – RECURSO PRÓPRIO</t>
  </si>
  <si>
    <t>BARBOSA E SERAFIM CONSTRUÇÕES LTDA</t>
  </si>
  <si>
    <t>01/2015</t>
  </si>
  <si>
    <t>30/2015</t>
  </si>
  <si>
    <t>2ª MEDIÇÃO NA EXECUÇÃO DE SERVIÇOS DE RECUPERAÇÃO DE PAVIMENTAÇÃO EM PARALELEPÍPEDOS GRANITÍCOS EM DIVERSAS RUAS DA SEDE DO MUNICIPIO</t>
  </si>
  <si>
    <t>21.589.671/0001-00</t>
  </si>
  <si>
    <t>W &amp; G PRESTADORA DE SERVIÇOS LTDA-ME</t>
  </si>
  <si>
    <t>28/2015</t>
  </si>
  <si>
    <t>CONSTRUÇÕES SERVIÇOS E LOCAÇÕES LTDA</t>
  </si>
  <si>
    <t>RECUPERAÇÃO DE PAVIMENTAÇÃO DAS RUAS E AVENIDAS DO MUNICÍPIO DE JATOBA</t>
  </si>
  <si>
    <t>2015</t>
  </si>
  <si>
    <t>08.176.032/0001-54</t>
  </si>
  <si>
    <t>SERVIÇOS QUE SERÁ PRESTADOS DA 1ª MEDIÇÃO DOS SERVIÇOS DE REFORMA E PINTURA PREDIAL DAS UNIDADES ESCOLARES, PERTENCENTE AO MUNICÍPIO.</t>
  </si>
  <si>
    <t>DNJ CONSTRUÇÕES LTDA-ME</t>
  </si>
  <si>
    <t>510 DIAS</t>
  </si>
  <si>
    <t>03.965.269/0001-09</t>
  </si>
  <si>
    <t>Proc. Nº 23/2016 - CP 01/2016</t>
  </si>
  <si>
    <t>Contratação de empresa de engenharia para executar os serviços de construção de uma Escola de um pavimento com 12 (doze) salas de aula, a ser implantada em um terreno próprio localizado no Bairro Nova Jucati, recurso próprio do Município</t>
  </si>
  <si>
    <t xml:space="preserve"> 219/2016</t>
  </si>
  <si>
    <t>18 meses</t>
  </si>
  <si>
    <t>Proc. Nº 22/2016 - DL 01/2016</t>
  </si>
  <si>
    <t>Contratação de empresa de engenharia para executar os serviços de movimentação de terra complementar para implantação de adutora de água tratada.</t>
  </si>
  <si>
    <t>165/2016</t>
  </si>
  <si>
    <t>Proc. Nº 12/2015 - TP 01/2015</t>
  </si>
  <si>
    <t>Serviços de implantação de três sistemas coletivos de captação, armazenamento e distribuição de água para consumo humano, em comunidades rurais do município, nos seguintes sítios: vieira, banquete, matinhas, buraco d`água e pracinha.</t>
  </si>
  <si>
    <t>SUDENE - Programa Nacional de Universalização do Acesso e Uso da Água</t>
  </si>
  <si>
    <t>GCM - CONSTRUTORA E INCORPORADORA LTDA</t>
  </si>
  <si>
    <t>NÃO CONCLUÍDA</t>
  </si>
  <si>
    <t>CONSTRUTORA AMBRELLA CONSTRUÇÃO E INCORPORADORA LTDA-ME</t>
  </si>
  <si>
    <t>TOMADA DE PREÇOS N:007/2014</t>
  </si>
  <si>
    <t>MELHORIA E AMPLAIAÇÃO DO HOSPITALCLAUDINA TEXEIRA</t>
  </si>
  <si>
    <t>FEM 2  GOVERNO DE ESTADO</t>
  </si>
  <si>
    <t>CONSTRUMAR ENGENHARIA LTDA -ME</t>
  </si>
  <si>
    <t xml:space="preserve">Obra concluída </t>
  </si>
  <si>
    <t xml:space="preserve"> IMPLEMENTAÇÃO DE REDES DA GALERIAS NO BAIRRO NOVA JUPI</t>
  </si>
  <si>
    <t>CONSTRUÇÃO DA SEDE DO CONSELHO DO IDOSO</t>
  </si>
  <si>
    <t>20.908.601/0001-04</t>
  </si>
  <si>
    <t>073/2015</t>
  </si>
  <si>
    <t xml:space="preserve"> -</t>
  </si>
  <si>
    <t>Governo do Estado - FEM</t>
  </si>
  <si>
    <t>TP004/14</t>
  </si>
  <si>
    <t>Ampliação do Cemitério Municipal</t>
  </si>
  <si>
    <t>Garoa Construções e Empreendimentos</t>
  </si>
  <si>
    <t>Construção da Unidade Básica de Saúde / UBS / Porte I, localizada à Rua Aprígio Soares, s/nº, Vila Cipó, Lagoa dos Gatos – PE, GPS, 25 L 0180159, UTM 9042209.</t>
  </si>
  <si>
    <t xml:space="preserve">LOCALIZAR CONSTRUÇÕES E LOCAÇÃO LTDA </t>
  </si>
  <si>
    <t>S/Nº</t>
  </si>
  <si>
    <t>62 MESES</t>
  </si>
  <si>
    <t>IMPLANTAÇÃO DO SISTEMA DE ABASTECIMENTO DE ÁGUA NAS LOCALIDADES DE RIACHO DO RECREIO, TANQUE, SANTO ANTONIO E MALHADA BONITA, INTERIOR DESTE MUNICÍPIO</t>
  </si>
  <si>
    <t>03.689.756/0001-88</t>
  </si>
  <si>
    <t>Q &amp; M CONSTRUÇÕES COMÉRCIO E SERVIÇOS LTDA</t>
  </si>
  <si>
    <t>079-2015</t>
  </si>
  <si>
    <t>16 MESES</t>
  </si>
  <si>
    <t>PAVIMENTAÇÃO GRANÍTICA EM VERMELHOS</t>
  </si>
  <si>
    <t>15.408.777/0001-67</t>
  </si>
  <si>
    <t>SILVA E SOUZA LTDA - ME</t>
  </si>
  <si>
    <t>114-2014</t>
  </si>
  <si>
    <t>REFORMA DOS CEMITÉRIOS</t>
  </si>
  <si>
    <t>09.564.344/0001-06</t>
  </si>
  <si>
    <t>ELO CONSTRUÇÕES E SERVIÇOS LTDA</t>
  </si>
  <si>
    <t>028-2014</t>
  </si>
  <si>
    <t>TOMADA DE PREÇO Nº 009-2015</t>
  </si>
  <si>
    <t>CONSTRUÇÃO DE PLATAFORMA DE PESAGEM DE VEÍCULOS DE CARGA NO ASSENTAMENTO CATALUNHA</t>
  </si>
  <si>
    <t>037-2015</t>
  </si>
  <si>
    <t>REFORMA DO PÓRTICO DA ENTRADA DA CIDADE</t>
  </si>
  <si>
    <t>23.119.416/0001-29</t>
  </si>
  <si>
    <t>SM-EVENTOS E SERVIÇOS DA CONST. CIVIL</t>
  </si>
  <si>
    <t>OS 0006</t>
  </si>
  <si>
    <t>CONCORRENCIA 01/12</t>
  </si>
  <si>
    <t>IMPLANTAÇÃO DO SISTEMA DE ESGOTAMENTO SANITARIO DA SEDE DO MUNICIPIO DE LAJEDO - ETAPA II</t>
  </si>
  <si>
    <t>TAC-PAC 548/11</t>
  </si>
  <si>
    <t>14.529.162/0001-26</t>
  </si>
  <si>
    <t>CONSORCIO SCAVE/ROTEC</t>
  </si>
  <si>
    <t>138/12</t>
  </si>
  <si>
    <t>48 meses</t>
  </si>
  <si>
    <t>CONCORRENCIA  01/10</t>
  </si>
  <si>
    <t>IMPLANTAÇÃO DO SISTEMA DE ESGOTAMENTO SANITARIO DA SEDE DO MUNICIPIO DE LAJEDO - ETAPA I</t>
  </si>
  <si>
    <t>TAC-PAC 563/09</t>
  </si>
  <si>
    <t>275/11</t>
  </si>
  <si>
    <t>CONCORRENCIA 001/14</t>
  </si>
  <si>
    <t>CONTRATAÇÃO DE EMPRESA DE ENGENHARIA PARA EXECUÇÃO DOS SERVIÇOS DE MANUTENÇÃO E EFICIENTIZAÇÃO DA ILUMINAÇÃO PUBLICA COM TECNOLOGIA LED, EM VARIOS LOGRADOUROS DO MUNICIPIO DE LAJEDO/PE</t>
  </si>
  <si>
    <t>SCAVE SERVIÇOS DE ENGENHARIA E LOCAÇÃO LTDA</t>
  </si>
  <si>
    <t>76/14</t>
  </si>
  <si>
    <t>4490.51.00 +
3390.39.00</t>
  </si>
  <si>
    <t>CONTRATAÇÃO DE EMPRESA DE ENGENHARIA PARA EXECUÇÃO DOS SERVIÇOS DE PAVIMENTAÇÃO EM PARALELEPÍPEDOS GRANITICOS NAS RUAS DE ACESSO DO POVOADO IMACULADA, OLHO DAGUA DOS POMBOS, QUITERIA GUILHERMINA SOBRAL, MAJOR CAPITU, ANTONIO JOSE SOBRAL, FERREIRA DOS PRAZERES</t>
  </si>
  <si>
    <t>CONTRATO DE REPASSE Nº 300.375.76/MTUR/CAIXA</t>
  </si>
  <si>
    <t>19 MESES</t>
  </si>
  <si>
    <t>CONCORRENCIA 01/13</t>
  </si>
  <si>
    <t>CONTRATAÇÃO DE EMPRESA DE ENGENHARIA PARA AMPLIAÇÃO, RESTAURAÇÃO E URBANIZAÇÃO DA CENTRAL DE ABASTECIMENTO DE LAJEDO-CEALA.</t>
  </si>
  <si>
    <t>Termo de 
Adesão 101/2013</t>
  </si>
  <si>
    <t>Governo do 
Estado de Pernambuco</t>
  </si>
  <si>
    <t>CONSTRUTORA LEITE BARROS LTDA</t>
  </si>
  <si>
    <t>94/13</t>
  </si>
  <si>
    <t>TOMADA DE PREÇOS Nº 04/14</t>
  </si>
  <si>
    <t>CONTRATAÇÃO DE EMPRESA DE ENGENHARIA PARA SERVIÇOS DE MANUTENÇÃO CORRETIVA E PREVENTIVA DE PAVIMENTAÇÃO COM PARALELPÍPEDOS GRANÍTICOS NO MUNICIPIO DE LAJEDO/PE</t>
  </si>
  <si>
    <t>54/14</t>
  </si>
  <si>
    <t>3390.39.00</t>
  </si>
  <si>
    <t>CONTRATAÇÃO DE EMPRESA DE ENGENHARIA PARA EXECUÇÃO DOS SERVIÇOS DE PAVIMENTAÇÃO EM PARALELEPÍPEDOS GRANITICOS NAS RUAS JOAO FRANCO DE ALBUQUERQUE, FRANCISCO CARLOS DOS SANTOS, LIONS CLUBE, NO MUNICIPIO  DE LAJEDO/PE</t>
  </si>
  <si>
    <t>CONTRATO DE REPASSE Nº 280.364.03/2008/MTUR/CAIXA</t>
  </si>
  <si>
    <t>98/15</t>
  </si>
  <si>
    <t>RESCISAO CONTRATUAL</t>
  </si>
  <si>
    <t>TOMADA DE PREÇOS Nº 01/14</t>
  </si>
  <si>
    <t>CONTRATAÇÃO DE EMPRESA DE ENGENHARIA PARA REALIZAR OPERAÇÃO DE DESOBSTRUÇÃO DE ESGOTOS E LIMPEZA DE CAIXAS COLETORAS E CANETAS, NA CIDADE DE LAJEDO/PE</t>
  </si>
  <si>
    <t>06/14</t>
  </si>
  <si>
    <t>TOMADA DE PREÇOS 10/13</t>
  </si>
  <si>
    <t>CONTRATAÇÃO DE EMPRESA DE ENGENHARIA PARA CONSTRUÇÃO DE UMA QUADRA COBERTA COM VESTIÁRIO NA ESCOLA SEBASTIANA FERREIRA DA SILVA, NO MUNICIPIO DE LAJEDO/PE</t>
  </si>
  <si>
    <t>FNDE/PAC Nº 205967/2013</t>
  </si>
  <si>
    <t>01/14</t>
  </si>
  <si>
    <t>Concorrência 001/15</t>
  </si>
  <si>
    <t>CONTRATAÇÃO DE EMPRESA DE ENGENHARIA PARA EXECUÇÃO DOS SERVIÇOS DE CONSTRUÇÃO DE 01 (UMA) QUADRA COBERTA, NA ESCOLA  DOM ESPEDITO LOPES (PADRÃO FNDE)</t>
  </si>
  <si>
    <t>FNDE/PAC 2</t>
  </si>
  <si>
    <t>129/15</t>
  </si>
  <si>
    <t>CONTRATAÇÃO DE EMPRESA DE ENGENHARIA PARA EXECUÇÃO DOS SERVIÇOS DE CONSTRUÇÃO DE 01 (UMA) QUADRA COBERTA, NA ESCOLA PADRE ANTONIO BARBOSA (PADRÃO FNDE)</t>
  </si>
  <si>
    <t>130/15</t>
  </si>
  <si>
    <t>CONTRATAÇÃO DE EMPRESA DE ENGENHARIA PARA EXECUÇÃO DOS SERVIÇOS DE CONSTRUÇÃO DE 01 (UMA) QUADRA COBERTA, NA ESCOLA PROF. ZELIA MOURA (PADRÃO FNDE)</t>
  </si>
  <si>
    <t>131/15</t>
  </si>
  <si>
    <t>CONTRATAÇÃO DE EMPRESA DE ENGENHARIA PARA EXECUÇÃO DOS SERVIÇOS DE PAVIMENTAÇÃO EM PARALELEPÍPEDOS GRANÍTICOS NAS RUAS   SANTO ANTONIO E NO ACESSO NO POVOADO CANTINHO NO MUNICIPIO DE LAJEDO/PE</t>
  </si>
  <si>
    <t>CONTRATO DE REPASSE Nº 327.497-12/2010/M.CIDADES/CAIXA</t>
  </si>
  <si>
    <t>MINISTERIO DAS CIDADES/CAIXA</t>
  </si>
  <si>
    <t>AMBRELLA CONSTRUTIRA E INCORPORADORA LTDA-ME</t>
  </si>
  <si>
    <t>97/15</t>
  </si>
  <si>
    <t>TOMADA DE PREÇOS 03/15</t>
  </si>
  <si>
    <t>CONTRATAÇÃO DE EMPRESA DE ENGENHARIA PARA AMPLIAÇÃO DO MURO DO CEMITÉRIO CAMPO DA PAZ</t>
  </si>
  <si>
    <t>AGRESCON EMPREENDIMENTOS &amp; INCORP. LTDA ME</t>
  </si>
  <si>
    <t>114/15</t>
  </si>
  <si>
    <t>Camol Costrutora Amorim LTDA</t>
  </si>
  <si>
    <t>Construcão de Uma Academia de Saúde,no bairro João Ednesto,neste munícípio</t>
  </si>
  <si>
    <t>02853900/0001-07</t>
  </si>
  <si>
    <t>Multi Empreendimentos e Corporações LTDA</t>
  </si>
  <si>
    <t>Execução da Obra de Construção de Uma Quadra Poliesportiva no Distrito dos Mendes</t>
  </si>
  <si>
    <t xml:space="preserve"> MEsporte</t>
  </si>
  <si>
    <t>03349259/0001-31</t>
  </si>
  <si>
    <t>IMPLANTAÇÃO DO SISTEMA DE ESGOTAMENTO SANITÁRIO NA SEDE DO MUNICÍPIO</t>
  </si>
  <si>
    <t>0315/2012</t>
  </si>
  <si>
    <t>10.194.352/0001-89</t>
  </si>
  <si>
    <t>JUSTIZ MONTENEGRO SERVIÇOS LTDA-EPP</t>
  </si>
  <si>
    <t>89/2014</t>
  </si>
  <si>
    <t xml:space="preserve"> 4.4.90.51.00 </t>
  </si>
  <si>
    <t>PORTO DA CONSTRUÇÃO LTDA</t>
  </si>
  <si>
    <t>CONSTRUÇÃO QUADRA POLIESPORTIVA COBERTA  NO SÍTIO PAQUEVIRA</t>
  </si>
  <si>
    <t>CONCORRÊNCIA N:001/2015</t>
  </si>
  <si>
    <t>PAVIMENTAÇÃO EM PARALELEPIPEDO GRANILITICO EM DIVERSAS RUAS.</t>
  </si>
  <si>
    <t>806239/2004</t>
  </si>
  <si>
    <t>BRASILAR COMERCIO INDUSTRIA E SERVIÇOS DE CONSTRUÇÃO LTDA -EPP</t>
  </si>
  <si>
    <t>Implantação do Sistema Elétrico de Fornecimento da Energia elétrica dos quiosques do Alto da Sé em Olinda</t>
  </si>
  <si>
    <t>BLB Engenharia Ltda</t>
  </si>
  <si>
    <t>Implantação da |nfraestrutura para a Instalação do Sistema Elétrico dos Quiosques do Alto da Sé de Olinda</t>
  </si>
  <si>
    <t>012/14</t>
  </si>
  <si>
    <t>TOMADA DE PREÇO Nº 008/2014</t>
  </si>
  <si>
    <t>CONSTRUÇÃO DE 01 (UMA) QUADRA ESPORTIVA COBERTA COM VESTIÁRIO PADRÃO FNDE (25,80 X 38,00) NO SÍTIO ENCRUZILHADA.</t>
  </si>
  <si>
    <t>VASCONCELOS E MAGALHÃES EMPREENDIMENTOS</t>
  </si>
  <si>
    <t>PAVIMENTAÇÃO ASFALTICA DE DIVERSAS RUAS</t>
  </si>
  <si>
    <t>CONSTRUTORA LUMAX LTDA</t>
  </si>
  <si>
    <t>PAVIMENTAÇÃO ASFALTICA DE DIVERSAS RUAS/ BARRA</t>
  </si>
  <si>
    <t>CONTRATAÇÃO DE EMPRESA DE ENGENHARIA PARA EXECUTAR OBRAS DE CONSTRUÇÃO DE UMA QUADRA ESCOLAR COBERTA COM VESTIÁRIOS NA ESCOLA JUVENCIO ANTONIO VIANA, NESTE MUNICIPIO.</t>
  </si>
  <si>
    <t>AMBRELLA CONSTRUTORA &amp; IMCORPORADORA - EPP</t>
  </si>
  <si>
    <t>68/2014</t>
  </si>
  <si>
    <t>08/08/2016</t>
  </si>
  <si>
    <t>441.347,80</t>
  </si>
  <si>
    <t>e-mail</t>
  </si>
  <si>
    <t>CONSTRUÇÃO DE UMA UNIDADE BÁSICA DE SAÚDE NO POVOADO DE CACHOEIRA DANTAS</t>
  </si>
  <si>
    <t>08091098000114007</t>
  </si>
  <si>
    <t>15.088.2017/0001-37</t>
  </si>
  <si>
    <t>S.A SOUZA CONSTRUTORA LTDA - EPP</t>
  </si>
  <si>
    <t>CONSTRUÇÃO DE UMA PONTE LOCALIZADA NO SITIO INHUMAS E PAVIMENTAÇÃO EM PARALELEPIPEDOS GRANITICOS DE SEIS RUAS NO MUN. DE PALMEIRINA-PE</t>
  </si>
  <si>
    <t>CONSTRUTORA SANTOS LTDA - ME</t>
  </si>
  <si>
    <t>CONTRATAÇÃO DE EMPRESA DE ENGENHARIA PARA CONSTRUÇÃO DE UMA COBERTURA DE UMA QUADRA ESCOLAR, NA ESCOLA MONSEHOR JULIO DE SIQUEIRA, NESTE MUNICIPIO.</t>
  </si>
  <si>
    <t>69/2014</t>
  </si>
  <si>
    <t>23/09/2016</t>
  </si>
  <si>
    <t>147.148,61</t>
  </si>
  <si>
    <t>37.380,12</t>
  </si>
  <si>
    <t>PRINCESA DO AGRESTE EMPREENDIMENTOS LTDA</t>
  </si>
  <si>
    <t>CONSTRUÇÃO DE PASSAGENS MOLHADAS NA ZONA RURAL</t>
  </si>
  <si>
    <t>133/2015</t>
  </si>
  <si>
    <t>CV     001/2015</t>
  </si>
  <si>
    <t>CONSTRUÇÃO DE MURO DE ARRIMO P/ CONTENÇÃO DE ATERO E MURO DE CONTORNO EM ALVENARIA, INCUINDO MÃO CONSTRUÇÃO DA CRECHE DE CRUZES LOTE II.</t>
  </si>
  <si>
    <t>SKALLA INCORPORADORA LTDA</t>
  </si>
  <si>
    <t>70/2015</t>
  </si>
  <si>
    <t>CONTRATAÇÃO DE EMPRESA ESPECIALIZADA PARA EXECUÇAO DE SERVIÇO DE ENGENHARIA PARA RECUPERAÇÃO DA PRAÇA JOÃO CORREIA DE ASSIS</t>
  </si>
  <si>
    <t>08.587.840/0001-04</t>
  </si>
  <si>
    <t>CONSTRUKARD EMPREENDIMENTOS LTDA EPP</t>
  </si>
  <si>
    <t>035/2011</t>
  </si>
  <si>
    <t>Carta convite</t>
  </si>
  <si>
    <t>Execução de obras neste município parareforma da biblioteca e construção cde passarela na unidade mista hospitalar na sede do município de Parnamrim-PE</t>
  </si>
  <si>
    <t>15.224.626/ 0001-59</t>
  </si>
  <si>
    <t>Construtora Rio Largo LTDA EPP.</t>
  </si>
  <si>
    <t>036/ 2016</t>
  </si>
  <si>
    <t>Construção de quadra poliesportiva descoberta na região de Floresta de baixo,conforme tomada de preços 005/2014</t>
  </si>
  <si>
    <t>Termo de adesão  119/2014 FEM</t>
  </si>
  <si>
    <t>233.525,12</t>
  </si>
  <si>
    <t>Construtora TendTudo LTDA ME</t>
  </si>
  <si>
    <t>013/ 2016</t>
  </si>
  <si>
    <t>Execução de serviços de construção de 20 cisternas de alvenaria na zona rural do município</t>
  </si>
  <si>
    <t>RECURSOS MUNICIPAIS</t>
  </si>
  <si>
    <t>40.829.988/0001-10</t>
  </si>
  <si>
    <t>Bandeira e Castro Ltda EPP</t>
  </si>
  <si>
    <t>001/14</t>
  </si>
  <si>
    <t>sim</t>
  </si>
  <si>
    <t>Conconrrência - 002/2013</t>
  </si>
  <si>
    <t>Contratação de Empresa de Engenharia para Pavimentação de Diversas Ruas do Loteamento Primavera no Município de Paudalho/pe</t>
  </si>
  <si>
    <t>FEM1/2013</t>
  </si>
  <si>
    <t>Viacon Construções e Montagens Ltda</t>
  </si>
  <si>
    <t>125/13</t>
  </si>
  <si>
    <t>Esfera Construções Ltda</t>
  </si>
  <si>
    <t>não houve</t>
  </si>
  <si>
    <t>Concorrência -  002/2014</t>
  </si>
  <si>
    <t>Contratação de Empresa de Engenharia Para Execução dos Serviços de Pavimentação Asfáltica (CBUQ) da Estrada de Belém e Diversas Ruas do Alto Dois Irmãos Paudalho-PE</t>
  </si>
  <si>
    <t>Secretaria de Infraestrutura do Estado de Pernambuco</t>
  </si>
  <si>
    <t>Pressa Construções Ltda.</t>
  </si>
  <si>
    <t>Sim</t>
  </si>
  <si>
    <t>Tomada de preços - 003/2014</t>
  </si>
  <si>
    <t>Contratação de Empresa de Engenharia Para Execução de Pavimentação em Paralelepípedos e Drenagem em Diversas Ruas do Bairro de Guadalajara no Município De Paudalho – PE.</t>
  </si>
  <si>
    <t>FEM2/2014</t>
  </si>
  <si>
    <t>057/14</t>
  </si>
  <si>
    <t>Concorrencia 03/2014</t>
  </si>
  <si>
    <t>Contratação de Empresa de Engenharia para Reforma/Requalificação do Teatro Municipal de Paudalho-PE, conforme Conveio nº002/2014, da Fundação do Patrimônio Histórico e Artistico de Pernambuco - FUNDARPE</t>
  </si>
  <si>
    <t>C A CONSTRUÇÕES CIVIS LTDA - EPP</t>
  </si>
  <si>
    <t>Concorrencia 07/2016</t>
  </si>
  <si>
    <t xml:space="preserve">Contratação de empresa de engenharia para Construção de Quadra poliesportiva coberta com vestiario - Colegio Municipal do Paudalho </t>
  </si>
  <si>
    <t>Concorrência -  005/2013</t>
  </si>
  <si>
    <t>Contratação de Empresa de Engenharia Para Execução de Complementação dos serviços de Reforma, Ampliação da Escola Municipal Manoel da Rosa, Localizda no Alto Dois irmãos no Município de Paudalho/PE</t>
  </si>
  <si>
    <t>Sirius Construções |Comercio e Representações Ltda</t>
  </si>
  <si>
    <t>127/13</t>
  </si>
  <si>
    <t>em processo rescisorio</t>
  </si>
  <si>
    <t>Tomada de Preço 09/2015</t>
  </si>
  <si>
    <t>Contratação de Empresa de engenharia para execução dos serviços de reforam do novo Centro Administrativo de Paudalho(Antigo Mercado de Carne)</t>
  </si>
  <si>
    <t>Recursos Municipais</t>
  </si>
  <si>
    <t>Não iniciou</t>
  </si>
  <si>
    <t>Tomada de Preço - 11/2014</t>
  </si>
  <si>
    <t>Contratação de Empresa de Engenharia para Construção da Passagem Molhada, sobre o Rio Cabibaribe no Município de Paudalho/PE,conforme o FEM - Fundo de Apoio ao Desenvolvimento Municipal</t>
  </si>
  <si>
    <t>08.207.284/0004-01</t>
  </si>
  <si>
    <t>Tomada de preços - 008/2013</t>
  </si>
  <si>
    <t>Contratação de Empresa de Engenharia para Reforma de Imóvel para Instalação do Novo Departamento de Tributação do município de Paudalho</t>
  </si>
  <si>
    <t>005/14</t>
  </si>
  <si>
    <t>Tomada de Preço 07/2015</t>
  </si>
  <si>
    <t>Contratação de Empresa de engenharia para o construção do novo campo de futebol de Guadalajara "O PIABÃO", no Municipio de Paudalho</t>
  </si>
  <si>
    <t>Convite    006/2015</t>
  </si>
  <si>
    <t>Contratação de empresa de engenharia para serviço de construção de chafariz nos bairros da Vila São Sebastião e Bobocão</t>
  </si>
  <si>
    <t>18.033.528/0001-22</t>
  </si>
  <si>
    <t>GAP CONSTRUÇÕES LTDA - ME</t>
  </si>
  <si>
    <t>Convite 05/2015</t>
  </si>
  <si>
    <t>Contratação de empresa para execução dos serviços de reforma e urbanização na área da televisão da Primavera e àrea da academia da cidade da Avenida Miguel Arraes - Loteamento Primavera e Parque Beira Rio</t>
  </si>
  <si>
    <t>19.454.668/0001-37</t>
  </si>
  <si>
    <t>R B SERVIÇOS DE ENGENHARIA LTDA</t>
  </si>
  <si>
    <t>Tomada de Preço - 02/2014</t>
  </si>
  <si>
    <t>Contratação de Empresa de Engenharia para reforma e Ampliação do tele Centro do Municipio de Paudalho</t>
  </si>
  <si>
    <t>Tomada de Preço 05/2015</t>
  </si>
  <si>
    <t>Contratação de empresa de engenharia para construção de Muros de Arrimo no Bairro de Chã de Pinheiro</t>
  </si>
  <si>
    <t>execução de obras complementares de urbanização da área de reassentamento do loteamento Mãe Jaquinha das comunidades Justiça e Paz(Tururu) e São Pedro e pavimentação e drenagem de vias arteriais e coletoras nos bairros do Janga e Pau Amarelo</t>
  </si>
  <si>
    <t>0223.918-99/2007</t>
  </si>
  <si>
    <t>MCidades/CAIXA</t>
  </si>
  <si>
    <t>12.4.206</t>
  </si>
  <si>
    <t>330 dias</t>
  </si>
  <si>
    <t>4 4 90 51</t>
  </si>
  <si>
    <t>03.951.168.0001-70</t>
  </si>
  <si>
    <t>NE CONSTRUÇÕES E SERVIÇOS DE OBRAS CIVIS LTDA</t>
  </si>
  <si>
    <t>060/2015</t>
  </si>
  <si>
    <t>29.12.2016</t>
  </si>
  <si>
    <t>LOTE 01:pavimentação e drenagem de 20(vinte) ruas</t>
  </si>
  <si>
    <t>20.982.270.0001-52</t>
  </si>
  <si>
    <t>CONSORCIO ECAM ALIANCE</t>
  </si>
  <si>
    <t>165/2014</t>
  </si>
  <si>
    <t>CC 003/2009</t>
  </si>
  <si>
    <t xml:space="preserve">Lote 02: pavimen.recapeam.drenag.das Ruas, Benoni de Sá trecho PE 22;Av.Claudio Gueiros Leite - Pau Amarelo; Drª Wilma Cavalcante -Nª.SRª do Ó;Palmeirinha trecho entre Av. João Pereira de Oliveira/Abilio Diniz de Andrade - Janga... </t>
  </si>
  <si>
    <t>0276.198-05/2008</t>
  </si>
  <si>
    <t>00758.756/0001-02</t>
  </si>
  <si>
    <t>029/2010</t>
  </si>
  <si>
    <t>1º TA distr 2º praz DISTRATO R$ 31.285,97 3º TERMO ADITIVO PERMUTA SEM REFLEXO FINANCEIRO R$ 171.580,65 4º e 5º TERMO ADITIVO VIGÊNCIA 450 DIAS 6º, 7º, 8º TERMO ADITIVO PERMUTA SEM REFLEXO FINANCEIRO       R$ 283.113,00, 10.846,44 e 52.576,72 9º e 10º TERMO ADITIVO vigência 450 e execuç 360dias 11º TERMO ADITIVO supens, paral e retorno 12, 13º e 17º TERMO ADITIVO vigenc 450 e execuç 345 dias 14º TERMO ADITIVO perm não execu por serv exc e ext, s/reflex R$159.151,38  15º TERMO ADITIVO acresc serv ext e exc, e supr não exec sem reflexo 153.862,91 16º TERMO ADITIVO acresc serv exc e ext supr não exec com relexo</t>
  </si>
  <si>
    <t>em andamento - aguardando liberação dos recursos pelo MCidades/CAIXA</t>
  </si>
  <si>
    <t>Pavimentação e drenagem de 7 ruas nos bairros do Município do Paulista/PE</t>
  </si>
  <si>
    <t>122/2014</t>
  </si>
  <si>
    <t>12.775.724/0001-96</t>
  </si>
  <si>
    <t>CAMILO BRITO INCORPORAÇÃO DE IMOVEIS LTDA - EPP</t>
  </si>
  <si>
    <t>180/2014</t>
  </si>
  <si>
    <t>21.4.2015</t>
  </si>
  <si>
    <t>em andamento - aguardando recursos Governo do Estado - FEM</t>
  </si>
  <si>
    <t>Construção de praça dos esportes e cultura - PEC 3000,localizada na Avenida Lindolfo Collor,Paratibe,no município do Paulista/PE</t>
  </si>
  <si>
    <t>construção do ecoparque - Parque das Paineiras - Paulista/PE</t>
  </si>
  <si>
    <t>0301.268-94/2009</t>
  </si>
  <si>
    <t>MINISTÉRIO DO TURISMO/CAIXA</t>
  </si>
  <si>
    <t>LINEAR ENGENHARIA E SERVIÇOS LTDA</t>
  </si>
  <si>
    <t>145/2014</t>
  </si>
  <si>
    <t>730 dias</t>
  </si>
  <si>
    <t>TP 011/2014</t>
  </si>
  <si>
    <t>contenção de encostas, ladeira do cano da compesa na Avenida Paulista - Arthur Lundgren - Paulista/PE</t>
  </si>
  <si>
    <t>0351.569.82/2011</t>
  </si>
  <si>
    <t>ABL ENGENHARIA E REPRESENTAÇÃO LTDA</t>
  </si>
  <si>
    <t>1020 dias</t>
  </si>
  <si>
    <t>Pavimentação asfáltica,recaeamento e drenagem das vias rua 22 e Avenida 3 - bairro da Alameda - Paulista/PE</t>
  </si>
  <si>
    <t xml:space="preserve">800670 - 1014.202-08/2014 </t>
  </si>
  <si>
    <t>WB CONSTRUTORA LTDA</t>
  </si>
  <si>
    <t>078/2015</t>
  </si>
  <si>
    <t>6.3.2016</t>
  </si>
  <si>
    <t>desassoreamento e abertura de calha do complexo canal angelim/riacho tururu, trecho da Av. floresta ao rio Paratibe no município do Paulista/PE.</t>
  </si>
  <si>
    <t>ETNA - ENGENHARIA E TERRAPLENAGEM NACIONAL LTDA.</t>
  </si>
  <si>
    <t>055/2012</t>
  </si>
  <si>
    <t>TP 012/2014</t>
  </si>
  <si>
    <t xml:space="preserve">pavimentação e drenagem das ruas Quatro e Mongólia no bairro de Nossa Senhora da Conceição, no Município do Paulista/PE </t>
  </si>
  <si>
    <t>1016.421-61/2014</t>
  </si>
  <si>
    <t>600 dias</t>
  </si>
  <si>
    <t>Reforma e modernização da quadra poliesportiva(creche Nossa Senhora Aparecida),no loteamento Jardim Justiça e Paz(Tururu),bairro do Janga,noMunicípio do Paulista/PE.</t>
  </si>
  <si>
    <t>01008960-93/2013</t>
  </si>
  <si>
    <t>ITAPAJEU CONSTRUÇÕES E PROJETOS LTDA EPP</t>
  </si>
  <si>
    <t>CONVITE 006/2016</t>
  </si>
  <si>
    <t>serviços de agrupamento de conservação de pavimento viários - tapa buraco, PMF - Pré Misturado a Frio</t>
  </si>
  <si>
    <t>203/2016</t>
  </si>
  <si>
    <t xml:space="preserve">240 dias </t>
  </si>
  <si>
    <t>construção de 02(dois)pontilhões para acesso a UBS em Arthur Lundgren I e em Jardim Paulista, no Municipio do Paulista/PE</t>
  </si>
  <si>
    <t>PROCESSO Nº 043/2015 CONCORRÊNCIA Nº  001/2015</t>
  </si>
  <si>
    <t>Contratação de empresa para construção do sistema de abastecimento Dágua no Poço do Boi e Poço das ovelhas no municipio da Pedra-PE.</t>
  </si>
  <si>
    <t>Simões Martins Engenharia Eireli – EPP</t>
  </si>
  <si>
    <t>A INICIAR</t>
  </si>
  <si>
    <t>PROCESSO Nº 035/2014 TP 003/2014</t>
  </si>
  <si>
    <t xml:space="preserve">Serviços de construção e pavimentação em paralelepipédicos em vias da sede do município da Pedra - PE. </t>
  </si>
  <si>
    <t xml:space="preserve"> T ERMO 123/2014</t>
  </si>
  <si>
    <t>15479631/0001-02</t>
  </si>
  <si>
    <t>Projetcon – Projetos  e Construções LTDA-ME</t>
  </si>
  <si>
    <t>02.09.2015</t>
  </si>
  <si>
    <t xml:space="preserve"> PROCESS0 N. 024/2012  TOMADA 005/2012</t>
  </si>
  <si>
    <t>Execução de Ação do Sistema de Abastecimento Dágua no Distrito do Alegre Pedra – PE.</t>
  </si>
  <si>
    <t>TP/PAC 0572/2009</t>
  </si>
  <si>
    <t>075245470001-35</t>
  </si>
  <si>
    <t>PROCESSO Nº 010/2014 TP 002/2014</t>
  </si>
  <si>
    <t xml:space="preserve">Serviços de construção de uma Quadra escolar com vestuário, na escola João Galindo no município da Pedra - PE.  </t>
  </si>
  <si>
    <t>096612850001-86</t>
  </si>
  <si>
    <t>Construtora Inovar LTDA-ME</t>
  </si>
  <si>
    <t>01.12.2014  28.08.2015  28.04.2016</t>
  </si>
  <si>
    <t>PROCESSO Nº 009/2014 TP 001/2014</t>
  </si>
  <si>
    <t xml:space="preserve">Serviços de construção de uma Quadra escolar com vestuário, na escola João Batista Cordeiro no município da Pedra - PE. </t>
  </si>
  <si>
    <t>17447279/0001-59</t>
  </si>
  <si>
    <t>PROCESSO Nº 012/2015</t>
  </si>
  <si>
    <t>Serviços de manutenção da rede coletora de esgotos pluvial na zona urbana e zona rural no município da Pedra-PE.</t>
  </si>
  <si>
    <t>Construmar Engenharia Ltda - ME</t>
  </si>
  <si>
    <t>Aquisição de Serviços de reposição de Saneamento na cidade da Pedra - PE.</t>
  </si>
  <si>
    <t>087169690001-75</t>
  </si>
  <si>
    <t>D. BARROS CONSTTRUÇÕES E PROJETOS LTDA</t>
  </si>
  <si>
    <t>SN</t>
  </si>
  <si>
    <t>Concorrência nº 007/2013</t>
  </si>
  <si>
    <t>Construção do acesso ao Conjunto Habitacional Engenho Primavera-Sede, no município de Primavera</t>
  </si>
  <si>
    <t>Obra Concluída, aguardando a liberação de recursos por parte da CEF para efetuar o pagamento.</t>
  </si>
  <si>
    <t>construção do acesso ao conjunto Habitacional de Lage dos Caroços, no municipio de Jurema. Lote VI</t>
  </si>
  <si>
    <t>D&amp;L CONSTRUÇÕES E EMPREENDIMENTOS LTDA</t>
  </si>
  <si>
    <t>6/26/2015</t>
  </si>
  <si>
    <t>Fonte 101 – OPERAÇÕES DE CRÉDITO (Estadual)</t>
  </si>
  <si>
    <t>044/2013</t>
  </si>
  <si>
    <t>Concorrência nº 01/2013</t>
  </si>
  <si>
    <t xml:space="preserve">Construção de contenção de encostas, drenagem e acessibilidade para as ruas Floriano Peixoto e Salvador Teixeira, no município de Maraial. </t>
  </si>
  <si>
    <t>062/2013</t>
  </si>
  <si>
    <t>Construtora Werneck Russo Ltda</t>
  </si>
  <si>
    <t>Concorrência nº 006/2014</t>
  </si>
  <si>
    <t>Construção do acesso principal ao conjunto habitacional Campos Frios, no município de Xexéu</t>
  </si>
  <si>
    <t>Obra Distratada: Rescisão Unilateral com a empresa contratada. Como solução está sendo elaborado novo projeto com o remanescente da obra</t>
  </si>
  <si>
    <t xml:space="preserve"> -   </t>
  </si>
  <si>
    <t>Concorrencia nº 006/2011 - CPLOSE</t>
  </si>
  <si>
    <t>Execução dos serviços e construção de 552 unidades habitacionais e infraestrutura composta pelos serviços de abastecimento de água esgotamento sanitário e drenagem nas localidades da - UE11 e 12 - Olinda</t>
  </si>
  <si>
    <t>222.635-50/2007</t>
  </si>
  <si>
    <t>26.083,597,17</t>
  </si>
  <si>
    <t>044/2011</t>
  </si>
  <si>
    <t>28 meses</t>
  </si>
  <si>
    <t>Paralisada/
a ser licitada</t>
  </si>
  <si>
    <t>Concorrência nº 005/2008- CPL</t>
  </si>
  <si>
    <t xml:space="preserve">Obras e serviços : a) construção de 280 unidades habitacionais; b) implantação de infra-estrutura de macro e micro drenagem, pavimentação e obras viárias, sistemas de abastecimento d'água e esgotamento sanitário; c) obras de urbanização integrada com os projetos institucionais previstos para área e seu entorno, conforme projetos fornecidos pela CEHAB. visando a implantação do Projeto de Urbanização UE-13, no município de Olinda. </t>
  </si>
  <si>
    <t>SCHAIN (consorte líder): 61.226.890/0001-49</t>
  </si>
  <si>
    <t xml:space="preserve">CONSÓRCIO: SCHAHIN ENGENHARIA E COMÉRIO LTDA E ABF ENGENHARIA, SERVIÇOS E COMÉRCIO LTDA </t>
  </si>
  <si>
    <t>027/2008</t>
  </si>
  <si>
    <t>67 meses</t>
  </si>
  <si>
    <t>Paralisada/ MCMV/                a ser licitada</t>
  </si>
  <si>
    <t>Concorrência nº 004/2008  -CPL</t>
  </si>
  <si>
    <t>Obras e serviços de: 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 no município de Olinda/PE.</t>
  </si>
  <si>
    <t>218.760-07/2007</t>
  </si>
  <si>
    <t>Imobiliário Rocha (Consorte Líder): 08.162.448/0001/2013</t>
  </si>
  <si>
    <t>CONSÓRCIO: IMOBILIARIA ROCHA E CAMILO BRITO</t>
  </si>
  <si>
    <t>028/2008</t>
  </si>
  <si>
    <t>71 meses</t>
  </si>
  <si>
    <t xml:space="preserve">Conclusão do PROJETO CHARNEQUINHA, com recursos provenientes do PAC -Programa de Aceleração do Crescimento, no município do Cabo de Santo Agostinho/PE, nos termos da concorrência nº 003/2008 e seus anexos: a) execução de obras de infra-estrutura (abastecimento d'água e ligações domiciliares, esgotamento sanitário e ligações domiciliares, drenagem pluvial, sistema viário,contenção/muro de arrimo e estações elevatórias); b) construção de 194 unidades habitacionais; c) construção de 118 unidades sanitárias; d) execução de 136 melhorias habitacionais; e) construção de equipam,entos comunitários (praça do pórtico, polo de lazer, posto policial, posto de saúde , sementeira, praça do vale e conclusão do centro comunitário e escola municicpal); f) projeto ambiental (recuperação de encostas e plantio de árvores frutíferas em quintais, sementeira e praça do vale).      </t>
  </si>
  <si>
    <t>09.511.921/0001-93</t>
  </si>
  <si>
    <t>CONSÓRCIO FLAMAC/DORNELLAS</t>
  </si>
  <si>
    <t>022/2008</t>
  </si>
  <si>
    <t>Concorrência 002/2012 – CPLOSE</t>
  </si>
  <si>
    <t xml:space="preserve">Serviços de complemento da implantação do projeto de saneamento integrado da UE23 com obras e serviços de recuperação e/ou melhorias habitacionais, implantação de infraestrutura com serviços de terraplenagem, pavimentação, drenagem, abastecimento de água, esgotamento sanitario e urbanização integrada com paisagismo e construção de 05 praças, no Bairro de Campo Grande, Município do Recife/PE. </t>
  </si>
  <si>
    <t>0218.767-77/2007</t>
  </si>
  <si>
    <t xml:space="preserve">Processo: 00.392.213/0001-06 (empresa líder) </t>
  </si>
  <si>
    <t>CONSÓRCIO: PROCESSO ENGENHARIA LTDA E QUALITY EMPREENDIMENTOS LTDA.</t>
  </si>
  <si>
    <t>A ser licitada</t>
  </si>
  <si>
    <t xml:space="preserve">Concorrência nº 002/2010 - CEL </t>
  </si>
  <si>
    <t xml:space="preserve">Construção de 272 unidades habitacionais e implantação de infraestrutura básica, compreendendo: terraplenagem, pavimentação, drenagem (canaleta e canal) , abastecimento d'água e esgotamento sanitário do conjunto habitacional Mulheres de Tejucupapo, no Município de Recife/PE. </t>
  </si>
  <si>
    <t>301.544-37/2009</t>
  </si>
  <si>
    <t>06.002.195/0001-95</t>
  </si>
  <si>
    <t xml:space="preserve">DIAS ENGENHARIA E CONSTRUÇÕES LTDA </t>
  </si>
  <si>
    <t>033/2011</t>
  </si>
  <si>
    <t>36 meses - prorrogação                      07 meses - suspensão</t>
  </si>
  <si>
    <t>Concorrência nº 002/2007 - CPL</t>
  </si>
  <si>
    <t>Execução do remanescente, atraves do regime de empreitada por preço unitario, dos serviços discriminados a seguir, conforme projetos fornecidos pela CEHAB no anexo X do edital licitatorio, visando a implantação do Projeto Chega Mais, no Municipio de Paulista/PE.</t>
  </si>
  <si>
    <t xml:space="preserve">192.892-20/2006 </t>
  </si>
  <si>
    <t>DIAS ENGENHARIA E CONSTRUÇÕES LTDA - EPP</t>
  </si>
  <si>
    <t>Concorrência nº 008/2009 - CEL</t>
  </si>
  <si>
    <t>Construção de 230 unidades habitacionais, 01(um) equipamento comunitário (praça), implantação de infraestrutura básica, compreendendo: terraplenagem, pavimentação, drenagem, sistema de esgotamentosanitário, sistema de abastecimento d'água, recuperação ambiental e melhoria habitacional, no Município de Moreno</t>
  </si>
  <si>
    <t>233.398-19/2007</t>
  </si>
  <si>
    <t>SBM (consorte líder): 02.908.931/0001-18</t>
  </si>
  <si>
    <t xml:space="preserve">CONSÓRCIO SBM /CAMILO BRITO </t>
  </si>
  <si>
    <t>040/2010</t>
  </si>
  <si>
    <t>42 meses</t>
  </si>
  <si>
    <t>Paralisada/
Invadidia/
a ser licitada</t>
  </si>
  <si>
    <t>Concorrencia nº 006/2014 - CPLOSE</t>
  </si>
  <si>
    <t>Construção das unidades habitacionais, pavimentação, drenagem e paisagismos nas ruas 01, 02, 03, 04 e 05 do habitacional, localizado na unidade de esgotamento sanitario da UE-23, Campo Grande - Recife/PE.</t>
  </si>
  <si>
    <t>218.767-77/2007</t>
  </si>
  <si>
    <t>Concorrencia nº 003/2014 - CPLOSE</t>
  </si>
  <si>
    <t>Construção do Mercado Publico Jardim Jordão e implantação de pavimentação e drenagem na area interna do mercado, localizado no bairro do Ibura, Município de Jaboatão dos Guararapes/PE.</t>
  </si>
  <si>
    <t xml:space="preserve">A ser distratada </t>
  </si>
  <si>
    <t>Circo Arena, Café e Restaurante do Parque da Macaxeira</t>
  </si>
  <si>
    <t>229.027-44/2008</t>
  </si>
  <si>
    <t>Tomada de preços nº 007/2013 - CPLOSE</t>
  </si>
  <si>
    <t>Implantação do guarda-corpo no Canal do Fragoso I, drenagem das Ruas Jornalista Luis Andrade, Edmar Moury Fernandes, Pintor Manoel Bandeira e Joaquim Antônio de Medeiros, pintura interna, instalações de combate a incêndio das 302 unidades habitacionais e passeio interno (calçada de contorno e acesso dos blocos) dos habitacionais, integrantes da Bacia do Canal do Fragoso I, município de Olinda/PE.</t>
  </si>
  <si>
    <t>Concorrência n° 002/2014 - CPLOSE</t>
  </si>
  <si>
    <t>Serviços de contratação de empresa de engenharia para execução de serviços de pavimentação e drenagem em diversas ruas do Loteamento Novo Redentor, Município de Camaragibe</t>
  </si>
  <si>
    <t>ECAM TERRAPLANAGEM E PAVIMENTAÇÃO LTDA</t>
  </si>
  <si>
    <t xml:space="preserve">Execução pelo regime de empreitada por preço unitário, das obras de construção de 28 Unidades Habitacionais e implantação do Conjunto fossa/sumidouro no município de FEIRA NOVA/PE - Programa de Construção de Habitação de Interesse Social -FNHIS/2008. </t>
  </si>
  <si>
    <t>02.218.050/0001-75</t>
  </si>
  <si>
    <t>CONSTRUTORA BAPTISTA LEAL LTDA</t>
  </si>
  <si>
    <t>026/2009</t>
  </si>
  <si>
    <t>Tomada de Preços nº 015/2013 - CPLOSE</t>
  </si>
  <si>
    <t>Serviços de terraplenagem, pavimentação e drenagem e sinalização para compatibilização entre o sistema viário do Canal do Jordão e sua conexao com a Estrada da Batalha, entre os municipios do Recife e Jaboatão dos Guararapes.</t>
  </si>
  <si>
    <t>EMPERTEC - EMPRESA PERNAMBUCANA TECNICA DE ENGENHARIA E COMERCIO LTDA</t>
  </si>
  <si>
    <t>4 meses - prorrogação                      12 meses - suspensão</t>
  </si>
  <si>
    <t>Tomada de Preços nº 002/2014 - CPLOSE</t>
  </si>
  <si>
    <t>Obra de pavimentação e drenagem no loteamento Vila Garrancho, Municipio de Salgueiro.</t>
  </si>
  <si>
    <t>233.404-90/2007</t>
  </si>
  <si>
    <t>07 meses - suspensão                        10 meses - prorrogação</t>
  </si>
  <si>
    <t>Tomada de Preços nº 009/2014 - CPLOSE.</t>
  </si>
  <si>
    <t>Implantação de cerca para fechamento dos terrenos de patrimônio da CEHAB, nas localidades do Fragoso II (Loteamento Olinda e Loteamento INOCOOP – Olinda), UE–17 (Olinda), UE–13 (Olinda), Charnequinha (Cabo de Santo Agostinho), Cedro III (Caruaru), Loteamento Ilha Energética (Gravatá)</t>
  </si>
  <si>
    <t>002/2011</t>
  </si>
  <si>
    <t>Tomada de Preço nº 013/2013</t>
  </si>
  <si>
    <t>Construção de 10 unidades habitacionais remanecentes no Município de Itambé</t>
  </si>
  <si>
    <t>255.764-25/2008</t>
  </si>
  <si>
    <t>DIAS ENGENHARIA E CONSTRUÇÕES LTDA</t>
  </si>
  <si>
    <t>suspensão 18 meses</t>
  </si>
  <si>
    <t>Inacabada/
Paralisada</t>
  </si>
  <si>
    <t>Constitui objeto do presente instrumento a execução, pela CONTRATADA, pelo regime empreitada por preço unitario, das obras de pavimentação, terraplenagem e drenagem da Rua Janiópolis UR-5, localizado no Bairro do Ibura, no municipio de RECIFE/PE, atraves do lote 06.</t>
  </si>
  <si>
    <t>009/2011</t>
  </si>
  <si>
    <t>DISPENSA    S/N           DAJ</t>
  </si>
  <si>
    <t>CONSTRUÇÃO DO EMISSÁRIO DO LOTEAMENTO BAIRRO NOVO REDENTOR, VERA CRUZ, ALDEIA-CAMARAGIBE.</t>
  </si>
  <si>
    <t>STÁTICA SERVIÇOS E CONSTRUÇÕES LTDA.</t>
  </si>
  <si>
    <t>239/2011</t>
  </si>
  <si>
    <t>IMPLANTAÇÃO DE ADUTORA PARA REFORÇO DA ADUTORA DO OESTE A PARTIR DA BARRAGEM DO CHAPÉU, EM PARNAMIRIM/PE.</t>
  </si>
  <si>
    <t>18.967.316/0001-12</t>
  </si>
  <si>
    <t>CONSÓRCIO ROCHA/SANEA/ABF</t>
  </si>
  <si>
    <t>CT.OS 13.5.319</t>
  </si>
  <si>
    <t>PONTO FORTE CONSTRUCOES E EMPREENDIMENTOS LTDA</t>
  </si>
  <si>
    <t>PRESTAÇÃO DE SERVIÇOS DE INSTALAÇÃO, SUBSTITUIÇÃO E REMOÇÃO DE HIDRÔMETROS , INSTALAÇÃO DE CAIXA DE PROTEÇÃO E REGISTRO NO PADRÃO COMPESA, COM MATERIAIS FORNECIDOS PELA CONTRATADA, CENSO COM DIGITAÇÃO POR IMÓVEL E CADASTRAMENTO DOS SERVIÇOS EXECUTADOS NO</t>
  </si>
  <si>
    <t>17.119.291/0001-34</t>
  </si>
  <si>
    <t>ODEBRECHT AMBIENTAL - REGIÃO METROPOLITANA DO RECIFE/GOIANA SPE SA</t>
  </si>
  <si>
    <t>CT.PSH. 13.1.059.H03/04</t>
  </si>
  <si>
    <t>00.545.355/0001-66</t>
  </si>
  <si>
    <t>OTL OBRAS TECNICAS LTDA</t>
  </si>
  <si>
    <t>EC017/2011-CEL</t>
  </si>
  <si>
    <t>EXECUÇÃO DAS OBRAS E SERVIÇOS DE IMPLANTAÇÃO DO SISTEMA ADUTOR DE VITÓRIA A PARTIR DA BARRAGEM TAPACURA, PARA REFORÇO DO SAA DA CIDADE DE VITÓRIA (SEDE) E DISTRITO DE BONANÇA, MORENO/PE.</t>
  </si>
  <si>
    <t>11.514.148/0001-60</t>
  </si>
  <si>
    <t>SIENA ENGENHARIA LTDA.</t>
  </si>
  <si>
    <t>CT.OS 12.6.407</t>
  </si>
  <si>
    <t>1120 dias</t>
  </si>
  <si>
    <t>RD002CPL15</t>
  </si>
  <si>
    <t>ADEQUAÇÃO/AMPLIANÇÃO DA REDE DE DISTRIBUIÇÃO DE ÁGUA NO MUNICÍPIO DO CABO DE SANTO AGOSTINHO</t>
  </si>
  <si>
    <t>350.758-56/2011</t>
  </si>
  <si>
    <t>06.857.403/0001-38</t>
  </si>
  <si>
    <t>CONSTRUTORA JOLE LIMITADA</t>
  </si>
  <si>
    <t>CT.OS. 15.4.323</t>
  </si>
  <si>
    <t>546 DIAS</t>
  </si>
  <si>
    <t>EC003CPL13</t>
  </si>
  <si>
    <t>IMPLANTAÇÃO DO SISTEMA ADUTOR PARA PORTO DE GALINHAS, MURO ALTO, NOSSA SENHORA DO Ó E MARACAÍPE.</t>
  </si>
  <si>
    <t>346.047-63/2011</t>
  </si>
  <si>
    <t>669 DIAS</t>
  </si>
  <si>
    <t>OBRAS PARA REDUÇÃO DE VAZAMENTOS NA ÁREA DE ABRANGÊNCIA DO SISTEMA PIRAPAMA</t>
  </si>
  <si>
    <t>CT.OS.13.4.393</t>
  </si>
  <si>
    <t>750 dias</t>
  </si>
  <si>
    <t>IMPLANTAÇÃO DO SISTEMA DE ESGOTAMENTO SANITÁRIO DO DISTRITO DE CARAIBEIRAS, TACARATU/PE.</t>
  </si>
  <si>
    <t>CONSTRUTORA JOLE LTDA.</t>
  </si>
  <si>
    <t>CT.OS 13.5.333</t>
  </si>
  <si>
    <t>LN002CEL14</t>
  </si>
  <si>
    <t>IMPLANTAÇÃO DE SISTEMA DE ESGOTAMENTO SANITÁRIO COMPOSTO POR RAMAIS CONDOMINIAIS DE ESGOTO, REDE COLETORA, ESTAÇÃO ELEVATÓRIA DE ESGOTOS ¿ EEE, EMISSÁRIO DE RECALQUE, ESTAÇÃO DE TRATAMENTO DE ESGOTOS ¿ ETE E LIGAÇÕES DOMICILIARES, NA CIDADE DE TACAIMBÓ/P</t>
  </si>
  <si>
    <t>2901/OC-BR</t>
  </si>
  <si>
    <t>BID - PSA</t>
  </si>
  <si>
    <t>CT.OS.14.6.332</t>
  </si>
  <si>
    <t>191 DIAS</t>
  </si>
  <si>
    <t>RD002CPL16</t>
  </si>
  <si>
    <t>IMPLANTAÇÃO DA ADUTORA DE MOXOTÓ - TRECHO 2 (PE-280 À CRUZEIRO DO NORDESTE)</t>
  </si>
  <si>
    <t>CT.OS.16.5.189</t>
  </si>
  <si>
    <t>273 DIAS</t>
  </si>
  <si>
    <t>TEC HIDRO SERVIÇOS TÉCNICOS E COMÉRCIO LTDA</t>
  </si>
  <si>
    <t>10.514.594/0001-02</t>
  </si>
  <si>
    <t>EC020/2013-CPL</t>
  </si>
  <si>
    <t>AMPLIAÇÃO DA BARRAGEM DE PEDRO MOURA JÚNIOR, MUNICÍPIO DE BELO JARDIM/PE.</t>
  </si>
  <si>
    <t>TERRAPLAN ENGENHARIA DO BRASIL LTDA</t>
  </si>
  <si>
    <t>CT.OS 14.6.133</t>
  </si>
  <si>
    <t>IMPLANTAÇÃO DAS OBRAS DE SETORIZAÇÃO DOS DISTRITOS 03 E 05 DA REDE DE DISTRIBUIÇÃO DE SALGUEIRO/PE.</t>
  </si>
  <si>
    <t>EMCOSA - EMPRESA DE CONSTRUÇÕES E SANEAMENTO LTDA.</t>
  </si>
  <si>
    <t>CT.OS 13.5.257</t>
  </si>
  <si>
    <t>EC010/2012-CEL</t>
  </si>
  <si>
    <t>AMPLIAÇÃO DO SISTEMA DE ABASTECIMENTO DE ÁGUA - SAA DO MUNICÍPIO DE JATAÚBA, REDE DE DISTRIBUIÇÃO E RESERVATÓRIO.</t>
  </si>
  <si>
    <t>CT.OS 12.6.314</t>
  </si>
  <si>
    <t>650 dias</t>
  </si>
  <si>
    <t>65.688.111/0001-88</t>
  </si>
  <si>
    <t>VECTOR SISTEMAS DE AUTOMAÇÃO LTDA</t>
  </si>
  <si>
    <t>IMPLANTAÇÃO DA REDE DE DISTRIBUIÇÃO DE ÁGUA NA COMUNIDADE DE JARDIM CAJUEIRO EM JABOATÃO DOS GUARARAPES-PE</t>
  </si>
  <si>
    <t>ABL ENGENHARIA COMÉRCIO E REPRESENTAÇÃO LTDA</t>
  </si>
  <si>
    <t>13.4.317</t>
  </si>
  <si>
    <t>PROGRAMA DE RECUPERAÇÃO DE ÁREAS DEGRADADAS DA BARRAGEM DO MUNDAÚ II (CAJUEIRO)</t>
  </si>
  <si>
    <t>RIO UNA SERVIÇOS GERAIS LTDA</t>
  </si>
  <si>
    <t>CT.OS 13.6.290</t>
  </si>
  <si>
    <t>CONCLUSÃO DA AMPLIAÇÃO DA ETE CARUARU.</t>
  </si>
  <si>
    <t>CT.OS 15.6.109</t>
  </si>
  <si>
    <t>Obras e serviços de perfuração de instalação eletromecânica e energização do poço tubular P 1.4 - GN, destinado ao reforço do abastecimento de tejucupapo - Municipio de Goiana/PE</t>
  </si>
  <si>
    <t>183.027/0001-54</t>
  </si>
  <si>
    <t xml:space="preserve">TECNOPOÇOS PERFURAÇÃO E ASSISTÊNCIA DE TÉCNICA DE POÇOS ARTESIANOS LTDA </t>
  </si>
  <si>
    <t>13.4.042</t>
  </si>
  <si>
    <t>EC009CPL16</t>
  </si>
  <si>
    <t>CONTRATAÇÃO DE SERVIÇOS PARA FORNECIMENTO DO SSC (SISTEMA DE SUPERVISÃO E CONTROLE) DO DISTEMA DE ILUMINAÇÃO DO NOVO EDIFÍCIO SEDE DA COMPESA, INCLUSIVE COM FORNECIMENTO DE MATEIRAIS.</t>
  </si>
  <si>
    <t>11.093.462/0001-17</t>
  </si>
  <si>
    <t>LOGIX'S ELETRICIDADE E AUTOMACAO LTDA</t>
  </si>
  <si>
    <t>CT.OS.16.4.160</t>
  </si>
  <si>
    <t>TP002CSL15</t>
  </si>
  <si>
    <t>Obras e Serviços de Implantação do Saneamento Integrado do Beco da Tramways</t>
  </si>
  <si>
    <t>CT.OS. 15.4.329</t>
  </si>
  <si>
    <t xml:space="preserve"> 240 DIAS </t>
  </si>
  <si>
    <t>TP006CEL13</t>
  </si>
  <si>
    <t>IMPLANTAÇÃO DE SISTEMA DE SUPERVISÃO E CONTROLE PARA ATENDER ÀS NECESSIDADES DE AUTOMAÇÃO, TELEMEDIÇÃO E TELECOMANDO DAS INSTALAÇÕES, COM A FINALIDADE DE APRIMORAR O  SISTEMA DE ABASTECIMENTO DE ÁGUA DE FLORESTA FORNECIMENTO DE EQUIPAMENTOS, SOFTWARES.</t>
  </si>
  <si>
    <t>191.093-36/2008</t>
  </si>
  <si>
    <t>FGTS</t>
  </si>
  <si>
    <t>CT.OS. 15.5.167</t>
  </si>
  <si>
    <t>152 DIAS</t>
  </si>
  <si>
    <t>Remanejamento e substituição de Adutoras DN 500 e DN 300mm sob ponte de Cavaleiro - Jaboatão dos Guararapes</t>
  </si>
  <si>
    <t>15.367.556/0001-98</t>
  </si>
  <si>
    <t>NUNES INTERLIGACOES LTDA - EPP</t>
  </si>
  <si>
    <t>CT.OS.15.4.377</t>
  </si>
  <si>
    <t>31/12/2015</t>
  </si>
  <si>
    <t>11.116202/0001-10</t>
  </si>
  <si>
    <t>CV012CSL15</t>
  </si>
  <si>
    <t>IMPLANTAÇÃO DE REDE DE DISTRIBUIÇÃO DE ÁGUA, PARTINDO DO RAP MUTIRÃO, LOCALIZADO EM ENGENHO MARANGUAPE - PAULISTA/PE.</t>
  </si>
  <si>
    <t>CT.OS.16.4.011</t>
  </si>
  <si>
    <t>164 DIAS</t>
  </si>
  <si>
    <t>CT.OS.13.4.255 - 05</t>
  </si>
  <si>
    <t>REFORMA E MANUTENÇÃO (PREVENTIVA E CORRETIVA) DA INFRAESTRUTURA PREDIAL NOS TERMINAIS E MINITERMINAIS.</t>
  </si>
  <si>
    <t>PONTUALIDADE CONSTRUÇÕES LTDA – EPP</t>
  </si>
  <si>
    <t>01314.018/2014</t>
  </si>
  <si>
    <t>EXECUÇÃO DAS OBRAS DE SERVIÇOS DE IMPLANTAÇÃO, PAVIMENTAÇÃO E DRENAGEM
DA RODOVIA PE-037, TRECHO: ENTR.PE-025- (USINA BOM JESUS), ENTR. PE-039(ENGENHO PEDRA
) / DISTRITO DE JUSSARAL, ENTR. PE-045(ENGENHO JABOATÃOZINHO), EXTENSÃO DE 34,985KM</t>
  </si>
  <si>
    <t xml:space="preserve"> 18.823.724/0001-09</t>
  </si>
  <si>
    <t>TAMASA ENGENHARIA SA</t>
  </si>
  <si>
    <t>0007/12</t>
  </si>
  <si>
    <t>18/05/2015 (Conclução)</t>
  </si>
  <si>
    <t>EXECUÇÃO DAS OBRAS PARA IMPLANTAÇÃO E PAVIMENTAÇÃO DA ROD. VPE-TRÊS
LADEIRAS, TRECHO: ENTR. PE- 041(USINA SÃO JOSÉ)/DISTRITO DE TRÊS LADEIRAS/CHÃ DE SAPÉ/
ITAQUITINGA, EXTENSÃO DE 25,75KM</t>
  </si>
  <si>
    <t>0027/11</t>
  </si>
  <si>
    <t>02/05/2014 (Paralisação) 05/04/2015 (Conclusão)</t>
  </si>
  <si>
    <t>Concorrência Pública 36/2012</t>
  </si>
  <si>
    <t>EXECUÇÃO DAS OBRAS DE RESTAURAÇÃO, ADEQUAÇÃO DE IMPLANTAÇÃO DA VIA
EXISTENTE E PAVIMENTAÇÃO DA RODOVIA PE-059, TRECHO BR- 408(NAZARÉ DA MATA) - BUENOS
AIRES, ENTR. PE- 074- (P/VICÊNCIA), COM EXTENSÃO DE 20,50KM</t>
  </si>
  <si>
    <t>00.999.591/0001-52 00.338.885/0001-33</t>
  </si>
  <si>
    <t>A.G.C CONSTRUCOES &amp; EMPREENDIMENTOS LTDA  / Novatec Construções e Empreendimentos Ltda</t>
  </si>
  <si>
    <t>0016/13</t>
  </si>
  <si>
    <t xml:space="preserve"> 16/07/2014 (Paralisação) 26/07/2014  (Conclusão)</t>
  </si>
  <si>
    <t>EXECUÇÃO DAS OBRAS PARA RESTAURAÇÃO DA RODOVIA PE-103, TRECHO: ENTR. BR-232(BEZERROS) - ENTR. PE-109(BONITO). EXT. 29,50 KM.</t>
  </si>
  <si>
    <t>18.823.724/0001-09</t>
  </si>
  <si>
    <t>0016/14</t>
  </si>
  <si>
    <t>02/05/2014   (Paralisado) 13/09/2015 (Conclusão)</t>
  </si>
  <si>
    <t>Concorrência Pública 14/2012</t>
  </si>
  <si>
    <t xml:space="preserve"> EXECUÇÃO DAS OBRAS DE RESTAURAÇÃO DA RODOVIA PE-088, TRECHO: JOÃO ALFREDO - ENTR. PE- 090 - BOM JARDIM - OROBÓ - DIVISA PE-PB(UMBURETAMA), COM EXTENSÃO DE 27,00 KM</t>
  </si>
  <si>
    <t xml:space="preserve"> 00.338.885/0001-33 05.790.272/0001-56</t>
  </si>
  <si>
    <t>Novatec Construções e Empreendimentos Ltda / GMEC - ENGENHARIA E CONSTRUCOES LTDA</t>
  </si>
  <si>
    <t>007/13</t>
  </si>
  <si>
    <t>31/10/2014 (Paralisação)  28/07/2016 (Conclusão)</t>
  </si>
  <si>
    <t>364 DIAS</t>
  </si>
  <si>
    <t>EXECUÇÃO DAS OBRAS DE RESTAURAÇÃO DA RODOVIA PE-075, TRECHO: ENTR. PE-062 (
GOIANA)-ITAMBÉ-ENTR. PE-082 (IBIRANGA), SEGUIMENTOS: ESTACA 0 A ESTACA 15 E ESTACA 345
A ESTACA 1959+17,60M. COM EXTENSÃO DE 32,60KM</t>
  </si>
  <si>
    <t>0092/12</t>
  </si>
  <si>
    <t xml:space="preserve"> 19/08/2014  (Conclusão)</t>
  </si>
  <si>
    <t>EXECUÇÃO DAS OBRAS PARA IMPLANTAÇÃO DE PAVIMENTAÇÃOO DA RODOVIA PE- 086,
TRECHO: ENTR. PE- 088(OROBÓ)/MACHADOS, EXTENSÃO DE 15,45KM</t>
  </si>
  <si>
    <t>0056/11</t>
  </si>
  <si>
    <t xml:space="preserve"> 01/07/2012 Paralisado 02/11/2011 Paralisado 16/01/2014  (Conclusão)</t>
  </si>
  <si>
    <t>14.448.260/0001-39</t>
  </si>
  <si>
    <t>TOP ENGENHARIA LTDA</t>
  </si>
  <si>
    <t>Concorrência Pública 037/12</t>
  </si>
  <si>
    <t xml:space="preserve"> IMPLANTAÇÃO E PAVIMENTAÇÃO DA RODOVIA PE-280(SANTA MARIA / DISTRITO DE RIO
DA BARRA) / ENTR. BR-232 (KM 315), COM EXTENSÃO DE 8,70 KM</t>
  </si>
  <si>
    <t>Contek - Engenharia S/A</t>
  </si>
  <si>
    <t>0071/12</t>
  </si>
  <si>
    <t>27/09/2012 (Paralisação) 31/10/2014 (Paralisação) 08/11/2015 (Conclusão)</t>
  </si>
  <si>
    <t>Concorrência Pública 16/13</t>
  </si>
  <si>
    <t xml:space="preserve"> EXECUÇÃO DAS OBRAS E SERVIÇOS DE RESTAURAÇÃO DA RODOVIA PE-375(SOLUÇÃO 1 ), TRECHO: ENTR. BR-110 E ENTR. PE-316(TRAÍRAS/CARAIBEIRAS/TACARATU), COM EXTENSÃO DE 38,00 KM</t>
  </si>
  <si>
    <t>35.398.247/0001-92</t>
  </si>
  <si>
    <t>0030/14</t>
  </si>
  <si>
    <t>18/06/2014 (Paralisado) 30/11/2014 (paralisado)  31/10/2015 (Paralisado) 25/04/2015 (Conclusão)</t>
  </si>
  <si>
    <t>EXEC. OBRAS E SERV. PARA RESTAURAÇÃO DA RODOVIA PE-123</t>
  </si>
  <si>
    <t xml:space="preserve"> 00.338.885/0001-33</t>
  </si>
  <si>
    <t>Novatec Construções e Empreendimentos Ltda</t>
  </si>
  <si>
    <t>0087/12</t>
  </si>
  <si>
    <t>OBRAS E SERVIÇOS DE IMP/PAV DA ROD. PE-027, TRECHO: CHÃ DE CRUZ / ARAÇOIABA.
EXT.: 18,00 KM - PE</t>
  </si>
  <si>
    <t>0095/08</t>
  </si>
  <si>
    <t>29/06/2009 (Conclução)</t>
  </si>
  <si>
    <t>EXECUÇÃO DAS OBRAS DE IMPLANTAÇÃO E PAVIMENTAÇÃO DA RODOVIA VICINAL
RAINHA ISABEL, TRECHO: ENTR. PE- 218- (LAGOA DE SÃO JOSÉ), RAINHA ISABEL</t>
  </si>
  <si>
    <t>0057/13</t>
  </si>
  <si>
    <t>29/11/2014 (Conclusão)</t>
  </si>
  <si>
    <t>EXECUÇÃO DOS SERVIÇOS REMANESCENTES DE OBRAS DE ENGENHARIA PARA
IMPLANTAÇÃO, PAVIMENTAÇÃO E RESTAURAÇÃO DA RODOVIA PE-193</t>
  </si>
  <si>
    <t>0006/14</t>
  </si>
  <si>
    <t>31/10/2014 (Paralisado) 12/01/2015  (Conclusão)</t>
  </si>
  <si>
    <t>EXECUÇÃO DAS OBRAS E SERVIÇOS DA ADEQUAÇÃO DA VIA EXISTENTE A
IMPLANTAÇÃO DA RODOVIA PE-158, TRECHO: CALÇADOS - (KM 51), ENTR. BR-423 (JUPI). EXT. 10,52
KM</t>
  </si>
  <si>
    <t xml:space="preserve"> 08.288.581/0001-10</t>
  </si>
  <si>
    <t xml:space="preserve">I M COMERCIO E TERRAPLENAGEM LTDA </t>
  </si>
  <si>
    <t>0055/13</t>
  </si>
  <si>
    <t>02/01/2014 (Paralisado) 30/10/2014 (Conclusão)</t>
  </si>
  <si>
    <t>Empresa especializada na execução da obra da construção de 01 cozinha comunitária na comunidade quilombola de angico no município de Bom Conselho no estado de Pernambuco</t>
  </si>
  <si>
    <t>CONSTRUÇÃO DA UPA ARRUDA/PE</t>
  </si>
  <si>
    <t>TRÓPICOS ENGENHARIA LTDA</t>
  </si>
  <si>
    <t>051/2009</t>
  </si>
  <si>
    <t>27/07/2012</t>
  </si>
  <si>
    <t>Serviços de Engenharia especializada em construção civil para elaboração de projetos executivos e execução das obras de reforma e ampliação das emergências adulto, pediátrico, almoxarifado, CME, farmácia, laboratório e bloco cirúrgico do Hosp Dom Moura.</t>
  </si>
  <si>
    <t xml:space="preserve"> 69.968.238/0001-01</t>
  </si>
  <si>
    <t>BARRAGEM POÇO GRANDE</t>
  </si>
  <si>
    <t>CONSTRUTORA DUARTE LUNA LTDA</t>
  </si>
  <si>
    <t>116/2013</t>
  </si>
  <si>
    <t>PARALIZADA DESDE 05/2014</t>
  </si>
  <si>
    <t>30 dias</t>
  </si>
  <si>
    <t>Manutenção das farmácias</t>
  </si>
  <si>
    <t>11.129.870/0001-81</t>
  </si>
  <si>
    <t>FLG Serviços de Engenharia ltda</t>
  </si>
  <si>
    <t>090/2013</t>
  </si>
  <si>
    <t>Reforma do prédio da DELEGACIA DE POLÍCIA DA 89ª CIRCUNSCRIÇÃO - CARUARU, sito à Rua Bartolomeu Anacleto, s/nº, bairro do Salgado, município de Caruaru/PE.</t>
  </si>
  <si>
    <t>CONREPE CONSTRUÇÕES E REPRESENTAÇÕES PERNAMBUCANA LTDA</t>
  </si>
  <si>
    <t>SERVIÇOS TÉCNICOS ESPECIALIZADOS DE ENGENHARIA PARA EXECUÇÃO DE OBRA DE URBANIZAÇÃO DO CAIS DO PORTO DO RECIFE</t>
  </si>
  <si>
    <t>BRAENGE BRASIL ENGENHARIA LTDA</t>
  </si>
  <si>
    <t>Em execução.</t>
  </si>
  <si>
    <t>093/2013</t>
  </si>
  <si>
    <t>USINA DE OBRAS EMPREENDIMENTO LTDA</t>
  </si>
  <si>
    <t>Concorrência nº 002/2013- PL 042/2013 do tipo menor preço total</t>
  </si>
  <si>
    <t xml:space="preserve">Serviço de Engenharia para Implantação do Pátio do Estacionamento e Construção do novo Posto Fiscal de Xexéu/ PE, localizada na BR 101, Km 138- Xexéu/ PE. </t>
  </si>
  <si>
    <t xml:space="preserve"> C-SAFI 053/2014</t>
  </si>
  <si>
    <t>09/09/2015</t>
  </si>
  <si>
    <t>510 dias</t>
  </si>
  <si>
    <t>Ministério do Trabalho e Emprego</t>
  </si>
  <si>
    <t>3.3.90.39 e 3.3.90.30</t>
  </si>
  <si>
    <t>Processo nº 006/2015 – Pregão Presencial nº 002/2015</t>
  </si>
  <si>
    <t>Reformas da Agência do Trabalho de Igarassu e Escada</t>
  </si>
  <si>
    <t>15.582.367/0001-38</t>
  </si>
  <si>
    <t>INSTALMONT – INSTALAÇÃO, CONSTRUÇÃO E MONTAGEM – EPP</t>
  </si>
  <si>
    <t>Não Finalizada</t>
  </si>
  <si>
    <t>Pregão presencial 026/12 - PL 108/12</t>
  </si>
  <si>
    <t>Reforma dos prédios dos Organismos de Políticas para as Mulheres</t>
  </si>
  <si>
    <t>152/2010</t>
  </si>
  <si>
    <t>100.00,00</t>
  </si>
  <si>
    <t>Construtora Régio Ltda ME</t>
  </si>
  <si>
    <t>N finda</t>
  </si>
  <si>
    <t>Não finda</t>
  </si>
  <si>
    <t>PROC N.º 003/2013
CONC. Nº 002/2013</t>
  </si>
  <si>
    <t>Reabilitação do Pavimento e obras de melhoramentos, adequação da capacidade e segurança rodoviária e implantação do sistema de TRO/BRT na BR-101</t>
  </si>
  <si>
    <t>1115/2012</t>
  </si>
  <si>
    <t>19.394.808/0001-29
40.882.060/0001-08</t>
  </si>
  <si>
    <t>Mendes Jr.
Lidermarc</t>
  </si>
  <si>
    <t>Paralisado em jan/15</t>
  </si>
  <si>
    <t>44</t>
  </si>
  <si>
    <t>PROC.LICIT. Nº 006/2011-CEL, CONCORRÊNCIA Nº 004/2011-CEL</t>
  </si>
  <si>
    <t>Corredor Leste-Oeste</t>
  </si>
  <si>
    <t>19.394.808/0001-29</t>
  </si>
  <si>
    <t>Consórcio Mendes Jr/Servix</t>
  </si>
  <si>
    <t>027/2011</t>
  </si>
  <si>
    <t>Rescindido em 04/09/15</t>
  </si>
  <si>
    <t>31/09/2015</t>
  </si>
  <si>
    <t>PROC.LICIT. Nº 009/2011-CEL, CONCORRÊNCIA Nº 007/2011-CEL</t>
  </si>
  <si>
    <t>Ramal Cidade da Copa</t>
  </si>
  <si>
    <t>018/2011</t>
  </si>
  <si>
    <t>CC 002/2012 cpl</t>
  </si>
  <si>
    <t>PROC.LICIT. Nº 009/2012-CPL - CONCORRÊNCIA Nº 003/2012-CEL</t>
  </si>
  <si>
    <t>Obra, Projeto e Plano de Circulação do Corredor Norte/Sul - Ramal Agamenon</t>
  </si>
  <si>
    <t>61.573.184/0001-73</t>
  </si>
  <si>
    <t>Consórcio Heleno &amp; Fonseca e Consbem Construções</t>
  </si>
  <si>
    <t>11/2013</t>
  </si>
  <si>
    <t>Paralisação - 01/01/14</t>
  </si>
  <si>
    <t>028/2012</t>
  </si>
  <si>
    <t>Obra de requalificação da PE-15</t>
  </si>
  <si>
    <t>03.193.191/0001-43</t>
  </si>
  <si>
    <t>ETC empreendimentos e Tecnologia em constr. Ltda</t>
  </si>
  <si>
    <t>2014/021</t>
  </si>
  <si>
    <t>PROC.LICIT. Nº 011/2011-CPL, CONCORRÊNCIA Nº 001/2011-CPL</t>
  </si>
  <si>
    <t>BR-101 - Obra de Artes Especiais, Passarela e TI da Macaxeira</t>
  </si>
  <si>
    <t>Consórcio Maia Melo e AeT Arquitetura</t>
  </si>
  <si>
    <t>22/04/15
Paralisado (Ofício 318/15)</t>
  </si>
  <si>
    <t>PROC.LICIT. Nº 016/2011-CPL, CONCORRÊNCIA Nº 002/2011-CPL</t>
  </si>
  <si>
    <t>Viário da Lagoa D´Água</t>
  </si>
  <si>
    <t>08/02/2014 (Paralisado)</t>
  </si>
  <si>
    <t>Reforma e Recuperação do Escritório da ADAGRO - Caruaru - PE.</t>
  </si>
  <si>
    <t>C&amp;M Construtora e Prestadora de Serviços Ltda - ME</t>
  </si>
  <si>
    <t>Conc. nº 007/2010-CPL/SDS. Hom 23nov10-SEGI/SDS DOE nº 218 de 24nov10</t>
  </si>
  <si>
    <t>RFFSA</t>
  </si>
  <si>
    <t>00.401.969/0001 - 74</t>
  </si>
  <si>
    <t>254/2010 de 01/12/10</t>
  </si>
  <si>
    <t>Proc nº  034/12-CPL/SDS Conc. nº 002/12-CPL/SDS  - DOE 07/11/2013 -SIGNET(4008951-0/12).</t>
  </si>
  <si>
    <t>CONSTRUÇÃO DO COMPLEXO DE POLÍCIA CIENTÍFICA DE SALGUEIRO</t>
  </si>
  <si>
    <t>011/2013 de 27/07/2013</t>
  </si>
  <si>
    <t>Conc. nº 002/2011-CPL/SDS. Proc nº 002/2011-CPL/SDS SIGNET(4001639-5/2011).</t>
  </si>
  <si>
    <t>CONSTRUÇÃO DO COMPLEXO POLÍCIA CIENTÍFICA DE CARUARU</t>
  </si>
  <si>
    <t>02.325.995/0001 - 96</t>
  </si>
  <si>
    <t>098/2011 de 01/06/11</t>
  </si>
  <si>
    <t>Proc nº 001/11-CPL/SDS Conc. nº 001/11-CPL/SDS SIGNET(4001599-1/11).</t>
  </si>
  <si>
    <t>CONSTRUÇÃO DA AIS PETROLINA</t>
  </si>
  <si>
    <t>07.408.234/0001 - 11</t>
  </si>
  <si>
    <t>L e R Santos Construções Ltda</t>
  </si>
  <si>
    <t>097/2011 de 08/06/11</t>
  </si>
  <si>
    <t xml:space="preserve">Conc. Nº 001/2012-CPL/SDS. </t>
  </si>
  <si>
    <t>CONSTRUÇÃO DO LABORATÓRIO FORENSE</t>
  </si>
  <si>
    <t>08.432.427/0001-70</t>
  </si>
  <si>
    <t>Construtora Milão Ltda</t>
  </si>
  <si>
    <t>077/2012 de 17/12/12</t>
  </si>
  <si>
    <t>CONCREPOXI ENGENHARIA LTDA</t>
  </si>
  <si>
    <t>SBM -02.908.931/0001-18</t>
  </si>
  <si>
    <t>Reforma e ampliação do CASE Garanhuns</t>
  </si>
  <si>
    <t>026/2014-SCJ</t>
  </si>
  <si>
    <t>CONTRATO DE REPASSE  Nº 0328822-77/2010</t>
  </si>
  <si>
    <t>Nº 0328822-77/2010</t>
  </si>
  <si>
    <t xml:space="preserve"> R$ -   </t>
  </si>
  <si>
    <t xml:space="preserve"> FNDE </t>
  </si>
  <si>
    <t xml:space="preserve"> 449051 (Obras) </t>
  </si>
  <si>
    <t>Concorrência 016/2012</t>
  </si>
  <si>
    <t>Construção de Escola Técnica com Quadra Coberta de Bom Conselho/PE</t>
  </si>
  <si>
    <t>OTL Obras Técnicas Ltda</t>
  </si>
  <si>
    <t>TERMO DE ACEITAÇÃO PROVISÓRIO</t>
  </si>
  <si>
    <t>Concorrência 032/2012</t>
  </si>
  <si>
    <t>Construção de Escola Técnica  com Quadra Coberta de Abreu e Lima/PE</t>
  </si>
  <si>
    <t>023/2013-SEE</t>
  </si>
  <si>
    <t>Latache Engenharia e Instalações Ltda</t>
  </si>
  <si>
    <t>Obra de implantação da Biblioteca Estadual e Expresso Cidadão, situado no Parque Urbano da Macaxeira</t>
  </si>
  <si>
    <t>00.392.213/0001-00</t>
  </si>
  <si>
    <t>014/2013</t>
  </si>
  <si>
    <t>257/2015-SEE</t>
  </si>
  <si>
    <t>Concorrência Nacional nº 010/2013</t>
  </si>
  <si>
    <t>Construção Quadra Coberta da Escola João Rodrigues Cardoso-Águas Belas</t>
  </si>
  <si>
    <t>13.162.486/0001-06</t>
  </si>
  <si>
    <t>Construtora A.S. Ltda.</t>
  </si>
  <si>
    <t>067/2013-SEE</t>
  </si>
  <si>
    <t>Conclusão da obra da Escola José Mário da Silva-Ipojuca/PE.</t>
  </si>
  <si>
    <t>Pontualidade Construções Ltda.</t>
  </si>
  <si>
    <t>018/2015-SEE</t>
  </si>
  <si>
    <t>22 meses</t>
  </si>
  <si>
    <t>A União pelo Ministério da Integração Nacional</t>
  </si>
  <si>
    <t>CC - Nº 003/2012</t>
  </si>
  <si>
    <t>Construção da Barragem Igarapeba no Município de São Benedito do Sul, na Bacia do Rio UNA (Rio Piranji)</t>
  </si>
  <si>
    <t xml:space="preserve"> Portaria nº 725/2012 </t>
  </si>
  <si>
    <t xml:space="preserve"> A União pelo Ministério da Integração Nacional </t>
  </si>
  <si>
    <t>18.677.446/0001-10</t>
  </si>
  <si>
    <t>GPO - Gestão de Projetos e Obras LTDA e Construtora SANENCO LTDA</t>
  </si>
  <si>
    <t>CC - Nº 005/2013</t>
  </si>
  <si>
    <t>Construção da Barragem Barra de Guabiraba no Município de Barra de Guabiraba, na Bacia do Rio Sirinhaém</t>
  </si>
  <si>
    <t>Portaria nº 724/2012</t>
  </si>
  <si>
    <t>65.280.737/0001-51</t>
  </si>
  <si>
    <t>Construtora SANENCO LTDA</t>
  </si>
  <si>
    <t xml:space="preserve">19 meses </t>
  </si>
  <si>
    <t>CC - Nº 009/2012</t>
  </si>
  <si>
    <t>CONCLUSÃO DA CONSTRUÇÃO DA BARRAGEM PANELAS II - (2º ETAPA)</t>
  </si>
  <si>
    <t>755449/2011 (TC - 005/2011)</t>
  </si>
  <si>
    <t>CC - Nº 006/2012</t>
  </si>
  <si>
    <t>SERVIÇOS DE CONSTRUÇÃO DA BARRAGEM DE BEJÃO</t>
  </si>
  <si>
    <t>14.448.260/0001-39 (TOP)                                                                   01.397.753/0001-45 (Paviservice)</t>
  </si>
  <si>
    <t>Consórcio: TOP Engenharia Ltda / Paviservice Serviços de Pavimentação Ltda</t>
  </si>
  <si>
    <t>Concorrência Pública nº 001/2013</t>
  </si>
  <si>
    <t>Dragagem do Rio Beberibe, nos trechos 5 e 4 (parcial), compreendidos entre as estacas 93 + 20 (ponte da Av. Olinda) a 69 + 20 (Ponte Nova Esperança)</t>
  </si>
  <si>
    <t>CT 0248.253-96/08</t>
  </si>
  <si>
    <t>METROPOLITANA DE ENGENHARIA E COMÉRCIO LTDA.</t>
  </si>
  <si>
    <t>CC - Nº 002/2013</t>
  </si>
  <si>
    <t>CONCLUSÃO DA CONSTRUÇÃO DA BARRAGEM GATOS - (2º ETAPA)</t>
  </si>
  <si>
    <t>755448/2011 (TC-006/2011)</t>
  </si>
  <si>
    <t>CC Nº 004/2011</t>
  </si>
  <si>
    <t>Implantação do sistema de abastecimento de água da cidade de Jaqueira/PE</t>
  </si>
  <si>
    <t>SIENA ENGENHARIA LTDA</t>
  </si>
  <si>
    <t xml:space="preserve">40 meses </t>
  </si>
  <si>
    <t>Concorrência Pública nº 013/2013</t>
  </si>
  <si>
    <t>Construção da infraestrutura para instalação de 80 (oitenta) sistemas de dessalinização</t>
  </si>
  <si>
    <t>CC - Nº 009/2013</t>
  </si>
  <si>
    <t>SERVIÇOS DE RECUPERAÇÃO DA BARRAGEM SÃO PAULO</t>
  </si>
  <si>
    <t>14.575.353/0001-24</t>
  </si>
  <si>
    <t>VIGA ENGENHARIA LTDA</t>
  </si>
  <si>
    <t>Manutenção das barragens Bom Sucesso (Tuparetama), Chinelo (Carnaíba) e São José II (São José do Egito).</t>
  </si>
  <si>
    <t>11.501.395/0001-22</t>
  </si>
  <si>
    <t>Paulo Simões Consultoria e Projetos LTDA</t>
  </si>
  <si>
    <t>4.4.90.00</t>
  </si>
  <si>
    <t>Serviços medidos.</t>
  </si>
  <si>
    <t>Construção da Cadeia Pulblica Masculina I de Araçoiaba-PE. (LOTE 0II)</t>
  </si>
  <si>
    <t>Consórcio Walter Lopes/Concrepoxi sociedades Quality/Processo</t>
  </si>
  <si>
    <t>Construção da Cadeia Pulblica Feminina I de Araçoiaba-PE. (LOTE 0I)</t>
  </si>
  <si>
    <t>001/2009</t>
  </si>
  <si>
    <t>Intervenção e Reforma do Complexo Prisional do Curado</t>
  </si>
  <si>
    <t>0281071-80</t>
  </si>
  <si>
    <t>11.542.750/0001-01 06.945.546/0001-00</t>
  </si>
  <si>
    <t>Consórcio Tropicos/Pottencial</t>
  </si>
  <si>
    <t>060/2009</t>
  </si>
  <si>
    <t>60 meses</t>
  </si>
  <si>
    <t>02.105.940/0001-70</t>
  </si>
  <si>
    <t xml:space="preserve">4.4.90.92 </t>
  </si>
  <si>
    <t>CONCORRENCIA Nº003/2011</t>
  </si>
  <si>
    <t xml:space="preserve"> REFERENTE AO CONTRATO 074/2011 CUJO OBJETO E A CONSTRUÇÃODA EDIFICAÇÃO PARA ABRIGAR OS CURSOS DE FORMAÇÃO E APERFEIÇOAMENTO DOS MAGISTRADOS E SERVIDORES-PAGO MEDIANTE TERMO DE QUITAÇÃO 006/16</t>
  </si>
  <si>
    <t>24.065.617/0001-53</t>
  </si>
  <si>
    <t>TECNICA ENGENHARIA E ARQUITETURA LTDA-ME</t>
  </si>
  <si>
    <t>74/2011</t>
  </si>
  <si>
    <t>EXECUÇÃO DE REFORMA,  AMPLIAÇÃO E CONSTRUÇÃO DE PRÉDIOS DE ESCOLAS DA REDE MUNICIPAL.</t>
  </si>
  <si>
    <t>Concorrencia 002/2016</t>
  </si>
  <si>
    <t>Const.de quadras poliesportivas nas Esc. Municipais:AVELOZ, AROEIRA,CHAPADA,XIQUE-XIQUE, JOSE DE C.ALCANTARA E NA COMINUDADE SERRINHA E AGROVILA 04 BL03.</t>
  </si>
  <si>
    <t>04.172.218/0001-84</t>
  </si>
  <si>
    <t>CONSTRUTORA RUETA LTDA-EPP</t>
  </si>
  <si>
    <t>JANISON E D. SERV.GERAIS LTDA ME</t>
  </si>
  <si>
    <t>Reforma e Ampliação da Escola Municipal Elvira Pereira</t>
  </si>
  <si>
    <t>6/22/2016</t>
  </si>
  <si>
    <t>Costrução e Implantação da Balança de Caminhões</t>
  </si>
  <si>
    <t>22.308.467/0001-36</t>
  </si>
  <si>
    <t>CJR CONSTRUÇÕES E SERVIÇOS LTDA-ME</t>
  </si>
  <si>
    <t>2/28/2017</t>
  </si>
  <si>
    <t>Reforma  da Escola Municipal Sandalia dos Pescadores</t>
  </si>
  <si>
    <t>5/22/2016</t>
  </si>
  <si>
    <t>Reforma da Escola Municipal Costa e Silva</t>
  </si>
  <si>
    <t>PL 007/2016     TP 003/2016</t>
  </si>
  <si>
    <t>PAVIMENTAÇÃO EM PARALELEPÍPEDOS GRANITICOS EM DIVERSAS RUAS</t>
  </si>
  <si>
    <t>REC.PRÓPRIOS</t>
  </si>
  <si>
    <t xml:space="preserve">597.878,87 </t>
  </si>
  <si>
    <t>SANDRA S. DE SOUZA CONSTRUÇÕES EIRELI - EPP</t>
  </si>
  <si>
    <t xml:space="preserve">SENTRA SERVIÇOS E EMPREENDIMENTOS LTDA </t>
  </si>
  <si>
    <t>PL 014/2015     TP 001/2015</t>
  </si>
  <si>
    <t>REPOSIÇÃO DE PAVIMENTO EM PARALELEPÍPEDOS GRANITICOS</t>
  </si>
  <si>
    <t xml:space="preserve">443.756,66 </t>
  </si>
  <si>
    <t>RIO BRANCO CONSTRUTORA LTDA - EPP</t>
  </si>
  <si>
    <t>Obra paralisada</t>
  </si>
  <si>
    <t>PL 051/2014   TP 008/2014</t>
  </si>
  <si>
    <t>CONSTRUÇÃO DE 10  CISTERNAS EM DIVERSAS ESCOLAS MUNICIPAIS</t>
  </si>
  <si>
    <t xml:space="preserve">101.898,00 </t>
  </si>
  <si>
    <t>Contratação de empresa de Engenharia para executar os serviços de Fornecimento e Instalações de refletores em diversas rua deste Municipio</t>
  </si>
  <si>
    <t>Alliance Locações e Serviços Eireli</t>
  </si>
  <si>
    <t>PL 052/2015     TP 027/2015</t>
  </si>
  <si>
    <t>INSTALAÇÃO DE AR-CONDICIONADOS EM DIVERSAS ESCOLAS</t>
  </si>
  <si>
    <t xml:space="preserve">69.832,47 </t>
  </si>
  <si>
    <t>CONSTRUÇÃO DE PRAÇA PÚBLICA NA SEDE DO MUNICÍPIO DE QUIPAPÁ</t>
  </si>
  <si>
    <t>SOUZA CONSTRUTORA LTDA</t>
  </si>
  <si>
    <t>CONSTRUÇÃO DE UMA QUADRA POLIESPORTIVA NO DISTRITO DE VILA NOVA NO MUNICÍPIO DE QUIPAPA</t>
  </si>
  <si>
    <t>AGRAPE PROJETOS E CONSTRUÇÕES LTDA</t>
  </si>
  <si>
    <t>MANUTENÇÃO CORRENTIVA E PREVENTIVA EM DIVERSAS ESCOLAS DA REDE MUNICIPAL DE ENSINO DO MUNICÍPIO DE QUIPAPÁ</t>
  </si>
  <si>
    <t>CONSTRUTORA RÉGIO LTDA</t>
  </si>
  <si>
    <t>REPOSIÇÃO DE PARALELEPÍPEDOS GRANITICOS NAS RUAS DA SEDE, DISTRITOS E POVOADOS DO MUNICÍPIO DE QUIPAPA</t>
  </si>
  <si>
    <t>Implantação de esgotamento, pavimentação e drenagem</t>
  </si>
  <si>
    <t>06.7.0087</t>
  </si>
  <si>
    <t>Consórcio: ABF/AGC</t>
  </si>
  <si>
    <t>09/13</t>
  </si>
  <si>
    <t>Paralisada/Em Distrato</t>
  </si>
  <si>
    <t>Concorrência 001/2011</t>
  </si>
  <si>
    <t>Construção de emissário de esgotos</t>
  </si>
  <si>
    <t>13.751.311/0001-34</t>
  </si>
  <si>
    <t>Consórcio: ABF/Rocha/ Sanea</t>
  </si>
  <si>
    <t>03/11</t>
  </si>
  <si>
    <t>Reforma dos escritórios locais de saneamento (Santa Luzia, Mangueira, Mustardinha e Roda de Fogo),</t>
  </si>
  <si>
    <t>Consultrol Construtora Olindense Ltda</t>
  </si>
  <si>
    <t>013/15</t>
  </si>
  <si>
    <t>MARINHO.CONST.LTDA</t>
  </si>
  <si>
    <t>Obra de engenharia visando a construção do Anexo de São José</t>
  </si>
  <si>
    <t xml:space="preserve">011/2014 </t>
  </si>
  <si>
    <t>Reparação e reforma da sede da CTTU</t>
  </si>
  <si>
    <t>Construcon Construções</t>
  </si>
  <si>
    <t xml:space="preserve">CABANA CONSTRUCOES LTDA EPP                                 </t>
  </si>
  <si>
    <t xml:space="preserve">REVITALIZACAO PCA TIRADENTES                      </t>
  </si>
  <si>
    <t>6-004/14</t>
  </si>
  <si>
    <t>PREGÃO  / Nº 16/2013</t>
  </si>
  <si>
    <t>Serv. Recup. Drenagem Rua Genaro Guimarãe</t>
  </si>
  <si>
    <t>6-042/13</t>
  </si>
  <si>
    <t xml:space="preserve">RECUP.PRACA PROJETO BURLE MAX.                    </t>
  </si>
  <si>
    <t>6-006/14</t>
  </si>
  <si>
    <t>CARTA CONVITE / nº 007/2015</t>
  </si>
  <si>
    <t>RECUPERAÇÃO DO MURO DA GERÊNCIA DE ILUMINAÇÃO PÚBLICA – GIP , AV. NORTE</t>
  </si>
  <si>
    <t>RECONSTRUÇÕES LTDA-EPP</t>
  </si>
  <si>
    <t>1-011/15</t>
  </si>
  <si>
    <t>CC  010/14</t>
  </si>
  <si>
    <t>REVESTIMENTO CANAL DO ARRUDA</t>
  </si>
  <si>
    <t>001 / 2014</t>
  </si>
  <si>
    <t>GOV. ESTADO</t>
  </si>
  <si>
    <t>20.052.157/0001-78</t>
  </si>
  <si>
    <t>CONSORCIO CANAL DO ARRUDA</t>
  </si>
  <si>
    <t>025/14</t>
  </si>
  <si>
    <t>ICB 001/11</t>
  </si>
  <si>
    <t>PAV./DRENAGEM E OBRA DE ARTE, SUBST. A, B, C E PONTE SEMIPERIMETRAL</t>
  </si>
  <si>
    <t>7497/2009</t>
  </si>
  <si>
    <t>BANCO MUNDIAL</t>
  </si>
  <si>
    <t>15.353.760/0001-50</t>
  </si>
  <si>
    <t>CONSÓRCIO CINZEL/CAMILO BRITO</t>
  </si>
  <si>
    <t>009/12</t>
  </si>
  <si>
    <t>ICB 001/10</t>
  </si>
  <si>
    <t>CONSTRUÇÃO PARQUES: SANTANA / CAIARA  E  APIPUCOS</t>
  </si>
  <si>
    <t>7497-BR</t>
  </si>
  <si>
    <t>13.654.937/0001-22</t>
  </si>
  <si>
    <t>CONSORCIO PARQUES DO RECIFE</t>
  </si>
  <si>
    <t>015/11</t>
  </si>
  <si>
    <t>CC 001/12</t>
  </si>
  <si>
    <t>REVESTIMENTO DO CANAL RIO DA PRATA</t>
  </si>
  <si>
    <t>293.549-91</t>
  </si>
  <si>
    <t>17.327.583/0001-62</t>
  </si>
  <si>
    <t>CONSORCIO RIO DA PRATA</t>
  </si>
  <si>
    <t>075/12</t>
  </si>
  <si>
    <t>CC 014/14</t>
  </si>
  <si>
    <t>ESGOTAMENTO SANITARIO NA UE 39</t>
  </si>
  <si>
    <t>352.737-39/2011</t>
  </si>
  <si>
    <t>011/15</t>
  </si>
  <si>
    <t>04.2.0343.2</t>
  </si>
  <si>
    <t>CC 004/11</t>
  </si>
  <si>
    <t>CC 013/14</t>
  </si>
  <si>
    <t>PAVIMENTAÇÃO E UBANIZAÇÃO DE 19 RUAS EM DIVERSAS LOCALIDADES</t>
  </si>
  <si>
    <t>04.157.035/0001-90</t>
  </si>
  <si>
    <t>CONSTRUQUALI ENGENHARIA</t>
  </si>
  <si>
    <t>018/15</t>
  </si>
  <si>
    <t>CC 011/14</t>
  </si>
  <si>
    <t>PAVIMENTAÇÃO  E  DRENAGEM  RUAS NAS RPA'S  02; 04; 05  E  06</t>
  </si>
  <si>
    <t>5.275.604/0001-64</t>
  </si>
  <si>
    <t>WALTER LOPES ENGENHARIA LTDA.</t>
  </si>
  <si>
    <t>022/15</t>
  </si>
  <si>
    <t>CC 001/16</t>
  </si>
  <si>
    <t>EXECUÇÃO DE REQUALIFICAÇÃO E EDIFICAÇÃO EM ÁREA LOCALIZADA NO BAIRRO DO PINA – RPA 06 (ENCANTA MOÇA)</t>
  </si>
  <si>
    <t>CC 008/14</t>
  </si>
  <si>
    <t>COMPLEMENTAÇÃO HABITACIONAL PILAR – LOTE 01</t>
  </si>
  <si>
    <t>5.205.071 / 0001 - 44</t>
  </si>
  <si>
    <t>ALCA ENGENHARIA LTDA.</t>
  </si>
  <si>
    <t>028/14</t>
  </si>
  <si>
    <t>CC 003/10</t>
  </si>
  <si>
    <t>PAVIMENTAÇÃO DE DIVERSAS RUAS  LOTE 02</t>
  </si>
  <si>
    <t>013/10</t>
  </si>
  <si>
    <t>057/10</t>
  </si>
  <si>
    <t>KAENA CONSTRUÇÕES LTDA.</t>
  </si>
  <si>
    <t>CC 013/13</t>
  </si>
  <si>
    <t>PAVIMENTAÇÃO ACESSO AO CT SPORT CLUBE DO RECIFE</t>
  </si>
  <si>
    <t>003/14</t>
  </si>
  <si>
    <t>REVESTIMENTO CANAL PESSEGUEIROS</t>
  </si>
  <si>
    <t>293.542-21</t>
  </si>
  <si>
    <t>062/12</t>
  </si>
  <si>
    <t>Concluído.</t>
  </si>
  <si>
    <t>CC 004/15</t>
  </si>
  <si>
    <t>ARQUEOLOGIA NA COMUNIDADE DO PILAR</t>
  </si>
  <si>
    <t>08.961.997/0001-58</t>
  </si>
  <si>
    <t>FUNDAÇÃO APOLÔNIO SALES DE DESENVOLVIMENTO EDUCACIONAL</t>
  </si>
  <si>
    <t>029/15</t>
  </si>
  <si>
    <t>CC 004/13</t>
  </si>
  <si>
    <t>PAVIMENTAÇÃO RUA SAULO SUASSUNA E RUA CÉLIA</t>
  </si>
  <si>
    <t>PTG - SERVIÇOS, CONSTRUÇÕES E LOCAÇÕES LTDA.</t>
  </si>
  <si>
    <t>REFORMA E AMPLIAÇÃO DO GINÁSIO DE ESPORTES GERALDO MAGALHÃES</t>
  </si>
  <si>
    <t>786299-2013</t>
  </si>
  <si>
    <t>Paralisação 17/11/2015</t>
  </si>
  <si>
    <t>425 DIAS 275 DIAS 300 DIAS</t>
  </si>
  <si>
    <t>CONCORRÊNCIA Nº 003/2013</t>
  </si>
  <si>
    <t>OBRAS DE SERVIÇOS DE ENGENHARIA CONCERNENTES À URBANIZAÇÃO INTEGRADA PARA ESTRUTURAÇÃO DE 31 (TRINTA E UMA) PRAÇAS DE ESPORTES EM CAMPO DE VÁRZEA DO MUNICÍPIO DO RECIFE/PE</t>
  </si>
  <si>
    <t>COLMEIA</t>
  </si>
  <si>
    <t>CONCORRÊNCIA Nº 001/2014 - CEL/GABPE</t>
  </si>
  <si>
    <t>Constitui objeto do presente Contrato a execução das obras e serviços de engenharia para construção da escola de Referência localizada na Mangabeira, no Município de Recife, conforme as condições estabelecidas no processo licitatório referente à Concorrência nº 001/2014 - CEL/GABPE, e em seus anexos.</t>
  </si>
  <si>
    <t>01.991.627/0001-14</t>
  </si>
  <si>
    <t>KAIZEN CONSTRUÇÕES E INCORPORAÇÕES LTDA</t>
  </si>
  <si>
    <t>1º T.A  12/09/2015 a 11/03/2016 2º T.A  * 3º T.A 10/01/2016 á 07/07/2016 4º T.A  Reajuste</t>
  </si>
  <si>
    <t>CONCORRÊNCIA Nº 023/2013 CEL/GABPE</t>
  </si>
  <si>
    <t>Construção da E.M Referência do Jiquia</t>
  </si>
  <si>
    <t>DIAS ENGENHARIA E CONSTRUÇÕES</t>
  </si>
  <si>
    <t>1º T.A. - 04/03/2015 à 03/09/2015</t>
  </si>
  <si>
    <t xml:space="preserve"> OBRA PARALISADA </t>
  </si>
  <si>
    <t>DISPENSA DE LICITAÇÃO Nº 01/2015-GABPE</t>
  </si>
  <si>
    <t>CONSTITUI OBJETO DO PRESENTE CONTRATO A EXECUÇÃO DAS OBRAS E SERVIÇOS DE ENGENHARIA PARA CONSTRUÇÃO DO CENTRO MUNICIPAL DE EDUCAÇÃO INFANTIL - CMEI, LOCALIZADO NA RUA PINTOR HÉLIO FEIJÓ, S/N, TORRÕES, NO MUNICÍPIO DE RECIFE, CONFORME AS CONDIÇÕES ESTABELECIDAS NO PROCESSO LICITATÓRIO REFERENTE À DISPENSA DE LICITAÇÃO Nº 01/2015-GABPE.</t>
  </si>
  <si>
    <t>1º T.A 12/09/2015 á 11/03/2016</t>
  </si>
  <si>
    <t>NE CONSTRUÇÕES E SERVIÇOS DE OBRAS CIVIS EIRELI-EPP</t>
  </si>
  <si>
    <t>Secretaria de Educação</t>
  </si>
  <si>
    <t>T. BARRETO CONSTRUÇÕES LTDA.</t>
  </si>
  <si>
    <t>CONCORRÊNCIA Nº 017/2013</t>
  </si>
  <si>
    <t>CONSTITUI OBJETO DO PRESENTE CONTRATO A EXECUÇÃO DAS OBRAS E SERVIÇOS DE CONSTRUÇÃO DA ESCOLA MUNICIPAL CÓRREGO DO EUCLIDES, LOCALIZADA NO BAIRRO NOVA DESCOBERTA, NO MUNICÍPIO DE RECIFE.</t>
  </si>
  <si>
    <t>307/2013</t>
  </si>
  <si>
    <t>1º T.A. - 07/09/2014 à 04/02/2015 2º T.A. - 05/02/2015 à 05/06/2015 3º T.A. - 06/06/2015 à 02/12/2015 4º T.A. - 03/12/2015 à 30/05/2016</t>
  </si>
  <si>
    <t>Execução da obra e serviços de construção da E.M rofessor José Lourenço de Lima</t>
  </si>
  <si>
    <t>07.755.791/0001-09</t>
  </si>
  <si>
    <t>VALE DO UMA LTDA</t>
  </si>
  <si>
    <t>306/2013</t>
  </si>
  <si>
    <t>CONSTITUI OBJETO DO PRESENTE CONTRATO A EXECUÇÃO DAS OBRAS E SERVIÇOS DE ENGENHARIA PARA CONSTRUÇÃO DO CENTRO MUNICIPAL DE EDUCAÇÃO INFANTIL - CMEI, LOCALIZADO NA RUA FLORIANO PEIXOTO, S/N, BAIRRO DE SÃO JOSÉ (HABITACIONAL SÉRGIO LORETO), NO MUNICÍPIO DE RECIFE, AS CONDIÇÕES ESTABELECIDAS NO PROCESSO LICITATÓRIO REFERENTE À CONCORRÊNCIA Nº 009/2013 - CEL/GABPE, E EM SEUS ANEXOS.</t>
  </si>
  <si>
    <t>176/2013</t>
  </si>
  <si>
    <t>Constitui objeto deste instrumento a prestação de serviços de engenharia para execução dos Serviços de Construção das unidades de ensino da Secretaria Municipal de Educação do Recife, de acordo com as especificações do Termo de Referência anexo ao Edital, que segue: LOTE III - Reforma e Ampliação da Escola Municipal Nossa Senhora Auxiliadora, Rua Dr. Correia de Oliveira, nº 669, Torrões, Recife/PE, no valor de R$ 93.412,75 (noventa e três mil, quatrocentos e doze reais e setenta e cinco centavos); LOTE IV - Reforma e Ampliação da Creche Municipal Flor da Guabiraba, Rua Cassiterita, s/nº, Guabiraba, Recife/PE, no valor de R$ 186.472,50 (cento e oitenta e seis mil, quatrocentos e setenta e dois reais e cinquenta centavos) e LOTE V - Reforma e Ampliação da Creche Municipal Sementinha do Skylab, Rua Mucurici, nº 62, Iputinga, Recife/PE, no valor de R$ 253.969,83 (duzentos e cinquenta e três mil, novecentos e sessenta e nove reais e oitenta e três centavos). (CONTRATO ENCERRADO)</t>
  </si>
  <si>
    <t>Concorrência nº. 001/2007</t>
  </si>
  <si>
    <t>Execução das Obras de Saneamento Integrado no Sistema de Esgotamento Sanitário Cordeiro, envolvendo as Unidades de Esgotamento UE 41, sub-bacia A, UE 41, sub-bacia B, UE 42 e UE 43, nos bairros: Cordeiro, Iputinga, Prado, Torre, Madalena, Engenho do Meio e Zumbi, na cidade do Recife/PE.</t>
  </si>
  <si>
    <t>0191.489-12 0189.703-77 0189.700-44 0189.706-09 0189.694-64</t>
  </si>
  <si>
    <t>Ministério das Cidades/CEF</t>
  </si>
  <si>
    <t>R$ 7.800.000 ,00 R$ 2.520.000,00 R$ 40.790.000,00 R$ 28.700.000,00 R$ 21.165.000,00</t>
  </si>
  <si>
    <t>R$ 6.879.779,77 R$ 2.727.739,62 R$ 4.620.000,00 R$ 3.230.000,00 R$ 2.450.000,00</t>
  </si>
  <si>
    <t>09.547.728/0001-02</t>
  </si>
  <si>
    <t>Consórcio Cordeiro</t>
  </si>
  <si>
    <t>86/2008</t>
  </si>
  <si>
    <t>11/29/2015</t>
  </si>
  <si>
    <t>2166 Dias</t>
  </si>
  <si>
    <t>Regime Diferenciado de Contratações - RDC Presencial n° 002/2013 - CELSS/SESAN</t>
  </si>
  <si>
    <t>Prestação de serviços especializados de engenharia para execução das obras e serviços de implantação de Saneamento Integrado em áreas de baixa renda da Bacia do Rio Beberibe nas Unidades de Esgotamento, U E´s 03 ,04, 08, 17,19, 20 e 21.</t>
  </si>
  <si>
    <t>0346.601-83/2011</t>
  </si>
  <si>
    <t>15.128.515/0001-49</t>
  </si>
  <si>
    <t>Terrabrás- Terraplanagens do Brasil S/A</t>
  </si>
  <si>
    <t>2/23/2016</t>
  </si>
  <si>
    <t>Inacabada/Distratada</t>
  </si>
  <si>
    <t>NCB Nº. 003/2007</t>
  </si>
  <si>
    <t>Execução das obras de Urbanização da Unidade de Esgotamento 03 (UE-03), no Município do Recife, área de atuação do programa de infra-estrutura em áreas de baixa renda da RMR - Prometrópole na Bacia do Beberibe - Recife/PE.</t>
  </si>
  <si>
    <t>008/2003</t>
  </si>
  <si>
    <t>Estado de Pernambuco/CONDEPE-FIDEM</t>
  </si>
  <si>
    <t>US$ 24.631.599,00</t>
  </si>
  <si>
    <t>US$ 16.124.328,00</t>
  </si>
  <si>
    <t>12.574.539/0001-33, 03.608.944/0001-34 e 08.073.264/0001-87</t>
  </si>
  <si>
    <t>Consórcio formado pelas Empresas: Construtora Venâncio Ltda., Jepac Construções Ltda. e Construtora Andrade Guedes Ltda.</t>
  </si>
  <si>
    <t>113/08</t>
  </si>
  <si>
    <t>2/28/2013</t>
  </si>
  <si>
    <t>1364 Dias</t>
  </si>
  <si>
    <t>Concorrência nº. 005/2008</t>
  </si>
  <si>
    <t>Execução das obras de esgotamento sanitário de Roda de Fogo no bairro dos Torrões, na cidade do Recife/PE.</t>
  </si>
  <si>
    <t>0189.690-27/07</t>
  </si>
  <si>
    <t>35.596.014/0001-02 e 35.541.010/0001-19</t>
  </si>
  <si>
    <t>Consórcio formado pelas Empresas: Dornellas Engenharia Ltda. e Flamac Incorporação e construção Ltda.</t>
  </si>
  <si>
    <t>204/2008</t>
  </si>
  <si>
    <t>8/31/2011</t>
  </si>
  <si>
    <t>852 Dias</t>
  </si>
  <si>
    <t>Regime Diferenciado de Contratações - RDC Nº 01/2014 - CELSS/SESAN</t>
  </si>
  <si>
    <t>Execução das ações previstas no projeto de Trabalho Técnico Social - PTTS, do Programa de Saneamento Integrado da Bacia do Rio Beberibe (Programa PAC e PAC 2) nas Unidades de Esgotamento U E´s 03,0 4, 08, 17,19, 20, 21, 22 e 24.</t>
  </si>
  <si>
    <t>01.115.194/0013-77</t>
  </si>
  <si>
    <t>Diagonal Empreendimentos e Gestão de Negócios LTDA</t>
  </si>
  <si>
    <t>160/2014</t>
  </si>
  <si>
    <t xml:space="preserve"> R$ - </t>
  </si>
  <si>
    <t>Construção da UPA-E do Ibura</t>
  </si>
  <si>
    <t>Jacil Empreendimentos LTDA</t>
  </si>
  <si>
    <t>65/2014</t>
  </si>
  <si>
    <t>Carvalho Pontes Engenharia LTDA</t>
  </si>
  <si>
    <t>Construção UBS Rio da Prata</t>
  </si>
  <si>
    <t>T. Barreto Construções Ltda</t>
  </si>
  <si>
    <t>Construção Upinha Dia Poço da Panela</t>
  </si>
  <si>
    <t>66/2015</t>
  </si>
  <si>
    <t>TP 001/2013 PL 024/2013</t>
  </si>
  <si>
    <t>SERVIÇOS DE RECAPEAMENTO ASFÁLTICO EM DIVERSAS RUAS</t>
  </si>
  <si>
    <t>CONSTRUTORA ANCAR</t>
  </si>
  <si>
    <t>048/2013</t>
  </si>
  <si>
    <t>CV 014/2013 PL 039/2013</t>
  </si>
  <si>
    <t>SERVIÇOS DE REPOSIÇÃO DE PAVIMENTAÇÃO EM DIVERSAS RUAS DO MUNICIPIO</t>
  </si>
  <si>
    <t>04.274.246/0001-02</t>
  </si>
  <si>
    <t>CONSTRUTORA ROSA DOS VENTOS</t>
  </si>
  <si>
    <t>EXECUÇÃO DE TERRAPLENAGEM E PAVIMENTAÇÃO DE BECOS NOS BAIRROS BEIRA RIO,VILA RICA E ALTO DA FÉ</t>
  </si>
  <si>
    <t>PRISMA ENGENHARIA LTDA</t>
  </si>
  <si>
    <t>PRESTAÇÃO DE SERVIÇOS DE ADEQUAÇÃO NO TERRAÇO DE ESPERA NO CEMITÉRIO MUNICIPAL</t>
  </si>
  <si>
    <t>DISPENSA 010/2016</t>
  </si>
  <si>
    <t>PRESTAÇÃO DE SERVIÇOS DE ALVENARIA EM PEDRA RACHÃO NA RUA MANOEL RAIMUNDO CARLOS</t>
  </si>
  <si>
    <t>407.769.994-00</t>
  </si>
  <si>
    <t>JOÃO CARLOS DA SILVA</t>
  </si>
  <si>
    <t>PRESTAÇÃO DE SERVIÇOS NA COLOCAÇÃO DE LUMINARIAS EM DIVERSAS RUAS</t>
  </si>
  <si>
    <t>10.535.973/0001-89</t>
  </si>
  <si>
    <t>M.GOMES DA SILVA &amp;CIA LTDA-ME</t>
  </si>
  <si>
    <t>PRESTAÇÃO DE SERVIÇOS NA CONSTRUÇÃO DE UM POÇO COM 16 CV E CAIXA D'AGUA NO ENGENHO PROGRESSO</t>
  </si>
  <si>
    <t>DISPENSA 006/2016</t>
  </si>
  <si>
    <t>PRESTAÇÃO DE SERVIÇOS NA REFORMA DOS BANCOS DA PRAÇA ABELARDO SENA</t>
  </si>
  <si>
    <t>17.754.548/0001-20</t>
  </si>
  <si>
    <t>JOSÉ MAURO FRANCISCO DA SILVA</t>
  </si>
  <si>
    <t>JN CONSTRUTORA LTDA-ME</t>
  </si>
  <si>
    <t>PREGÃO N° 047/2016</t>
  </si>
  <si>
    <t>Demolição e Construção de Muro e Depósito de Alvenaria, Tapume, Instalação Elétrica e Pintura Plástica da Escola João XXIII</t>
  </si>
  <si>
    <t>403-A/2016</t>
  </si>
  <si>
    <t>Proj. ativ: 1.018/2.073 Elemento 4.4.90.51</t>
  </si>
  <si>
    <t>07.230.189/001-58</t>
  </si>
  <si>
    <t>Multi Serviços e Projetos LTDA</t>
  </si>
  <si>
    <t>Contratação de empresa de Engenharia para executar á construção  de uma escola de seis salas de aula padrão FNDE, no Povoado Serrinha da Prata</t>
  </si>
  <si>
    <t>Termo de Compromisso nº22592/2014</t>
  </si>
  <si>
    <t>Contratação de empresa de Engenharia para executar á construção  de uma escola de seis salas de aula padrão FNDE, na cidade de Saloá</t>
  </si>
  <si>
    <t>10.952.038/001-18</t>
  </si>
  <si>
    <t>Agreste Projetos e Serviços de Locação LTDA- ME</t>
  </si>
  <si>
    <t>Contratação de empresa de engenharia para construção de duas unidades Básicas de Saúde</t>
  </si>
  <si>
    <t>Ministerio da saude/PAC 2</t>
  </si>
  <si>
    <t>Nº ADITIVO 2</t>
  </si>
  <si>
    <t>Contratação de empresa de engenharia para ampliação de três Unidades Básicas de Saúde deste municipio de Saloá</t>
  </si>
  <si>
    <t>CONTRATAÇÃO DE EMPRESA ESPECIALIZADA DE ENGENHARIA PARA A EXECUÇÃO DOS SERVIÇOS DE AMPLIAÇÃO DO CEMITÉRIO DO SITIO CALDEIRÃO NO INTERIOR DO MUNICIPIO DE SANTA CRUZ</t>
  </si>
  <si>
    <t>11.188.168/0001-99</t>
  </si>
  <si>
    <t>KRM CONSTRUÇÕES LTDA ME</t>
  </si>
  <si>
    <t>CONCORRÊNCIA PÚBLICA 002/2015 (LOTE II)</t>
  </si>
  <si>
    <t>PAVIMENTAÇÃO EM PARALELEPÍPEDOS GRANÍTICOS EM DIVERSAS RUAS DESTE MUNICÍPIO</t>
  </si>
  <si>
    <t>CONSTRUTORA PRS LTDA ME</t>
  </si>
  <si>
    <t>CONCORRÊNCIA PÚBLICA 001/2012</t>
  </si>
  <si>
    <t>PRESTAÇÃO DE SERVIÇOS PARA RECAPEAMENTO ASFÁLTICO EM DIVERSAS LOCALIDADES DO MUNICÍPIO.</t>
  </si>
  <si>
    <t>346.986-37/2010</t>
  </si>
  <si>
    <t>CONCORRÊNCIA PÚBLICA 001/2016 (LOTEII)</t>
  </si>
  <si>
    <t>CONSTRUÇÃO DE UMA CRECHE NO BAIRRO DONA LICA</t>
  </si>
  <si>
    <t>07.940.834/0001-26</t>
  </si>
  <si>
    <t>CEDRO ENGENHARIA LTDA</t>
  </si>
  <si>
    <t>CONCORRêNCIA PÚBLICA 001/2016 (LOTE I)</t>
  </si>
  <si>
    <t>CONSTRUÇÃO DE UMA CRECHE NO BAIRRO ACAUÃ.</t>
  </si>
  <si>
    <t>17.633.457/0001-36</t>
  </si>
  <si>
    <t>M&amp;M EMPREENDIMENTOS E INCORPORAÇÃO LTDA EPP</t>
  </si>
  <si>
    <t>CONCORRÊNCIA PÚBLICA 002/2015 (LOTE III)</t>
  </si>
  <si>
    <t>CONCORRÊNCIA PÚBLICA 001/2014(LOTE IV)</t>
  </si>
  <si>
    <t>PAVIMENTAÇÃO EM PARALELEPÍPEDOS GRANÍTICOS EM DIVERSAS RUAS DO MUNICIPIO DE SANTA CRUZ DO CAPIBARIBE DIVIDIDA EM LOTES.</t>
  </si>
  <si>
    <t>CONCORRÊNCIA PÚBLICA 002/2016 (LOTE I E IV)</t>
  </si>
  <si>
    <t>MANUTENÇÃO DE CALÇAMENTO E MANUTENÇÃO DE SANEAMENTO EM DIVERSOS BAIRROS.</t>
  </si>
  <si>
    <t>PREGÃO PRESENCIAL N° 007/2016</t>
  </si>
  <si>
    <t>FORNECIMENTO PARCELADO DE MATERIAIS DE CONSTRUÇÃO, PARA SUPRIR AS NECESSIDADES DAS SECRETARIAS DESTE MUNICÍPIO.</t>
  </si>
  <si>
    <t>07.951.497/0001-72</t>
  </si>
  <si>
    <t>JUCIMAR BEZERRA MONTEIRO JÚNIOR ME</t>
  </si>
  <si>
    <t>PREGÃO PRESENCIAL N° 013/2015</t>
  </si>
  <si>
    <t>FORNECIMENTO PARCELADO DE MATERIAIS ELÉTRICO, DESTINADO AS SECRETARIAS DESTE MUNICÍPIO.</t>
  </si>
  <si>
    <t>11.966.359/0001-34</t>
  </si>
  <si>
    <t>REJANE DALVA DA SILVA - ME</t>
  </si>
  <si>
    <t>ARP 004/2016</t>
  </si>
  <si>
    <t>RCOM COMERCIOS E SERVIÇOS EIRELI ME</t>
  </si>
  <si>
    <t>CONSTRUÇÃO DE PRAÇA NA RUA PADRE INACIO MUNIZ, VILA DO PARÁ.</t>
  </si>
  <si>
    <t>PINTURA EXTERNA DA PARTE FRONTAL DA ESCOLA MUNICIPAL ESPECIAL VIRGILINA PEREIRA</t>
  </si>
  <si>
    <t>Construtora e Locadora Norberto Macedo Ltda.</t>
  </si>
  <si>
    <t>Convite 01/2016</t>
  </si>
  <si>
    <t>Construção de Muro de Arrimo do Estádio Público Municipal, Localizado na Sede do Município de Santa Filomena (PE)</t>
  </si>
  <si>
    <t>EXECUÇÃO DE OBRAS E SERVIÇOS DE ENGENHARIA RELATIVOS A URBANIZAÇÃO DA ENTRADA DA CIDADE</t>
  </si>
  <si>
    <t>10.573.221/0001-02</t>
  </si>
  <si>
    <t>VICTOR CONSTRUÇÕES LTDA-ME</t>
  </si>
  <si>
    <t>CONST. DE 10 QUADRAS POLIESPORTIVAS NA SEDE E NO INTERIOR MUNICÍPIO</t>
  </si>
  <si>
    <t>CONCRETEX COMERCIO CONSTRUÇÕES LTDA – EPP</t>
  </si>
  <si>
    <t>119/2013</t>
  </si>
  <si>
    <t>CONSTRUÇÃO DE QUADRA COBERTA COM VESTUÁRIO NA RUA JÚDITH GOMES DE BARROS DA SEDE</t>
  </si>
  <si>
    <t>REF. A TP 27/2014.E O CONTRATO 101/2014 E SEUS ADITIVOS, DESTINADO PROCEDER A EXECUÇÃO DE OBRAS E SERVIÇOS DE ENGENHARIA RELATIVO AO RECAPAMENTO ASFÁLTICO EM DIVERSAS RUAS E AVENIDAS NA SEDE, CONF. BM 04/2016</t>
  </si>
  <si>
    <t>PAVCON - PAVIMENTAÇÃO E CONSTRUÇÃO S/A</t>
  </si>
  <si>
    <t>CONST. DA COBERTURA DA QUADRA POLIESPORTIVA, MEDINDO 24,10X32,05m NO ASSENTAMENTO VITÓRIA</t>
  </si>
  <si>
    <t>09.572.312/0001-44</t>
  </si>
  <si>
    <t>SANTOS &amp; SOUZA CONSTRUÇÕES LTDA</t>
  </si>
  <si>
    <t>CONSTRUÇÃO DA COBERTURA DA QUADRA POLIESPORTIVA MEDINDO 24,10X32,05m NO POVOADO DE CARAÍBAS BOLETIM DE MEDIÇÃO N° 01</t>
  </si>
  <si>
    <t>EMPRESA ESPECIALIZADA PARA A EXECUÇÃO DE SERVIÇOS DE OBRAS E ENGENHARIA RELATIVOS A CONSTRUÇÃO DA REDE DE DISTRIBUIÇÃO DE ÁGUA DA LOCALIDADE DE CAIÇARÁ, SITUADA NA ZONA RURAL DESTE MUNICÍPIO</t>
  </si>
  <si>
    <t>LIDERMAK LOCAÇÃO DE SERVIÇOS LTDA</t>
  </si>
  <si>
    <t>EXECUÇÃO DAS OBRAS E SERVIÇOS DE ENGENHARIA RELATIVOS A CONCLUSÃO DA CONSTRUÇÃO DA COBERTURA DA QUADRA POLIESPORTIVA DO ASSENTAMENTO VITORIA</t>
  </si>
  <si>
    <t>BRAÇO FORTE CONSTRUÇÕES E SERVIÇOS LTDA</t>
  </si>
  <si>
    <t>EXECUÇÃO DAS OBRAS E SERVIÇOS DE ENGENHARIA RELATIVOS A CONCLUSÃO DA CONSTRUÇÃO DA COBERTURA DA QUADRA POLIESPORTIVA DO POVOADO DE CARAIBAS</t>
  </si>
  <si>
    <t>42/2013</t>
  </si>
  <si>
    <t>OBRAS E SERVIÇOS DE ENGENHARIA NA CONSTRUÇÃO DE 10 QUADRAS POLIESPORTIVAS DESCOBERTAS E EQUIPADAS NA SEDE E INTERIOR DO MUNICIPIO.</t>
  </si>
  <si>
    <t>CONCRETEX COMERCIO CONSTRUÇÕES LTDA-EPP</t>
  </si>
  <si>
    <t>TP-2/2016</t>
  </si>
  <si>
    <t>CONSTRUÇÃO DE CALÇAMENTO EM PARALELEPÍPEDOS E MEIO FIO EM DIVERSAS RUAS NA SEDE DO MUNICÍPIO DE SANTA TEREZINHA.</t>
  </si>
  <si>
    <t>FEM – SEPLAG</t>
  </si>
  <si>
    <t>20.227.311/0001-03</t>
  </si>
  <si>
    <t xml:space="preserve">CONSTRUTORA J. GALDINO EIRELI-EPP </t>
  </si>
  <si>
    <t>TOMADA DE PREÇO-006/2013 PROCESSO LICITATORIO  033/2013</t>
  </si>
  <si>
    <t>CONSTRUÇÃO QUADRA - PADRÃO FNDE</t>
  </si>
  <si>
    <t>LCR    CONSTRUTORA LTDA</t>
  </si>
  <si>
    <t>4.4.9.0.51</t>
  </si>
  <si>
    <t>CONSTRUÇÃO CRECHE TIPO B - PADRÃO FNDE</t>
  </si>
  <si>
    <t>TOMADA DE PREÇO-003/2014 PROCESSO LICITATORIO 031/2014</t>
  </si>
  <si>
    <t>PAVIMENTAÇÃO ASFALTICA EM DIVERSAS RUAS</t>
  </si>
  <si>
    <t>149/2013</t>
  </si>
  <si>
    <t>TP 005/2014
(PROC.024/2014)</t>
  </si>
  <si>
    <t>Contratação de Serviço de engenharia para adequadão do prédio do SAMU</t>
  </si>
  <si>
    <t>18.464.718/0001-02</t>
  </si>
  <si>
    <t>RAFAEL &amp; ALMEIDA PRODUÇÕES E EVENTOS LTDA – ME</t>
  </si>
  <si>
    <t>08.735.694/0001-17</t>
  </si>
  <si>
    <t>AMÉLIA CONSTRUÇÕES LTDA.</t>
  </si>
  <si>
    <t>TP 013/2013
(PROC.039/2013)</t>
  </si>
  <si>
    <t>Pavimentação em Paralelepípedos Graníticos nas Travessas 1, 2, 3 e 4 da Rua da Alegria, neste Município</t>
  </si>
  <si>
    <t>120/2013</t>
  </si>
  <si>
    <t>04.451.521/0001-16</t>
  </si>
  <si>
    <t>Proc. 017/15  TP. 003/15</t>
  </si>
  <si>
    <t>Contratação de serviços para construção do Centro Cultural , nesta cidade.</t>
  </si>
  <si>
    <t>1012832-44/13</t>
  </si>
  <si>
    <t>SS-Serviços, Locações e construções Ltda-EPP</t>
  </si>
  <si>
    <t>Contratação de serviços de construção das arquibancadas e urbanização do campo de futebol municipal, neste municipal</t>
  </si>
  <si>
    <t>388.589-00/12</t>
  </si>
  <si>
    <t>MINISTERIO DO ESPORTE</t>
  </si>
  <si>
    <t>Contratação de serviços especializados na implantação de sistema de esgotamento sanitário, deste município, conf. TC/PAC 0554/07 e PAC 686/09</t>
  </si>
  <si>
    <t>TERMO COMPROMISSO / PAC</t>
  </si>
  <si>
    <t>Scave - Serviços de engenharia e locação Ltda</t>
  </si>
  <si>
    <t>s/n</t>
  </si>
  <si>
    <t>Apresentada na PCA 2013 e esquecida</t>
  </si>
  <si>
    <t>REFORMA DO HOSPITAL MUNICIPAL DE SÃO JOAQUIM DO MONTE</t>
  </si>
  <si>
    <t>023-A/ 2015</t>
  </si>
  <si>
    <t>SERVIÇOS DE CONTRUÇÃO DE UBS NO BAIRRO DA GAMILEIRA, SITIO CUNHA E BOA VISTA (07)</t>
  </si>
  <si>
    <t>CONSTUTORA VALE DO UNA LTDA</t>
  </si>
  <si>
    <t xml:space="preserve">Construção de 01 Quadra Poliesportiva Coberta na Escola Municipal Marizinha Barros, nesta cidade e 01 Quadra Poliesportiva Coberta na Escola Municipal Vicente de Souza França, distrito do Carmo, neste município </t>
  </si>
  <si>
    <t>01.96.671/0001-74</t>
  </si>
  <si>
    <t>L.F.H. EMPREITEIRA LTDA-EPP</t>
  </si>
  <si>
    <t>059/2011</t>
  </si>
  <si>
    <t>NP Construção Ltda EPP</t>
  </si>
  <si>
    <t>01.966.671/0001-74</t>
  </si>
  <si>
    <t>TP-009/2008</t>
  </si>
  <si>
    <t>Construção de Pista de Cooper, Lago Artificial e Quiosque no Parque Municipal Pedro Leão Leal - centro</t>
  </si>
  <si>
    <t>01.510.073/0001-96</t>
  </si>
  <si>
    <t>ENGEMÉTODOS LTDA</t>
  </si>
  <si>
    <t>030/2008</t>
  </si>
  <si>
    <t>90 DD</t>
  </si>
  <si>
    <t>CC-014/2012</t>
  </si>
  <si>
    <t>Reforma da Praça Sá Moraes-Sede</t>
  </si>
  <si>
    <t>Serviço de Implantação e Manutenção do Sistema de Esgotamento Sanitário na Sede, Distritos e Povoados, neste município</t>
  </si>
  <si>
    <t>23.01.2015</t>
  </si>
  <si>
    <t>CC-014/2013</t>
  </si>
  <si>
    <t>Reposição de pavimentação em paralelepípedos graníticos (tapa buracos) na sede, distritos e povoados</t>
  </si>
  <si>
    <t>17.341.006/0001-25</t>
  </si>
  <si>
    <t>BOM NOME CONSTRUÇÃO LTDA ME</t>
  </si>
  <si>
    <t>CC-031/2013</t>
  </si>
  <si>
    <t>Reforma na Unidade do Estádio Municipal O Carvalhão, neste município</t>
  </si>
  <si>
    <t>17.480.349/0001-59</t>
  </si>
  <si>
    <t>FGS - Empreiteira Eireli - ME</t>
  </si>
  <si>
    <t>Serviço de Sistema de Esgotamento Sanitário na sede deste município</t>
  </si>
  <si>
    <t>068/14</t>
  </si>
  <si>
    <t>02/09/13</t>
  </si>
  <si>
    <t>02/01/04</t>
  </si>
  <si>
    <t>CC-015/2012</t>
  </si>
  <si>
    <t>Construção de 01 Quadra Poliesportiva descoberta no Sítio Lagoa da Extrema e 01(uma) no Sítio Cabaças</t>
  </si>
  <si>
    <t>CC-030/2013</t>
  </si>
  <si>
    <t>Construção de Arquibancada e Piso na Escola Municipal Dr. Arcôncio Pereira, neste município</t>
  </si>
  <si>
    <t>CC-034/2013</t>
  </si>
  <si>
    <t>Construção de 02 (dois) Reservatórios de Água: 01(um) no Sítio Barreiros e 01(um) na Vila Furtuna, neste município</t>
  </si>
  <si>
    <t>06.280.983/0001-43</t>
  </si>
  <si>
    <t>FAPRESE - Fábrica de Pré-moldados, Serralharia e Blindagem Ltda-ME</t>
  </si>
  <si>
    <t>Serviços de Saneamento Básico em diversas ruas na Sede, Distritos e Povoados</t>
  </si>
  <si>
    <t>04.223.068/0001-90</t>
  </si>
  <si>
    <t>ISRAEL BARROS CONSTRUÇÕES LTDA</t>
  </si>
  <si>
    <t>052/10</t>
  </si>
  <si>
    <t>22-12-10</t>
  </si>
  <si>
    <t>22-02-11</t>
  </si>
  <si>
    <t>CC-031/2009</t>
  </si>
  <si>
    <t>Serviços de Tapa Buracos no Povoado do Jatobá, Distrito do Carmo e Bom Nome</t>
  </si>
  <si>
    <t>10.553.823/0001-06</t>
  </si>
  <si>
    <t>BARROS &amp; BARRETOS- Prestação de Serviços</t>
  </si>
  <si>
    <t>061/2009</t>
  </si>
  <si>
    <t>CC-010/2011</t>
  </si>
  <si>
    <t>Serviço de aterro de valas e reposição de paralelepípedos graníticos (tapa buracos) em diversas ruas, neste município</t>
  </si>
  <si>
    <t>020/2011</t>
  </si>
  <si>
    <t>CC-016/2014</t>
  </si>
  <si>
    <t>Serviços de Reforma da Praça em frente a Igreja no distrito do Bom Nome, neste município</t>
  </si>
  <si>
    <t>10.08.2014</t>
  </si>
  <si>
    <t>CC-027/2011</t>
  </si>
  <si>
    <t>Reforma da Escola Municipal Balduíno Gomes de Sá, no Sítio Tamboril, neste município</t>
  </si>
  <si>
    <t>058/2011</t>
  </si>
  <si>
    <t>CC-002/2014</t>
  </si>
  <si>
    <t>Prestação de Serviços de Manutenção/Instalação e Recuperação de Poços Semi-Artesianos, neste município</t>
  </si>
  <si>
    <t>18.987.212/0001-70</t>
  </si>
  <si>
    <t>Maria dos Anjos da Fonseca Terto-ME</t>
  </si>
  <si>
    <t>CC-021/2014</t>
  </si>
  <si>
    <t>Reforma da Secretaria de Educação no bairro Vila Furtuna, nesta cidade</t>
  </si>
  <si>
    <t>CC-023/2013</t>
  </si>
  <si>
    <t>Construção de Muro do Colégio Municipal Dr. Arcôncio Pereira</t>
  </si>
  <si>
    <t>DP-013/2013</t>
  </si>
  <si>
    <t>Serviço de reparação do telhado da Escola Municipal Maria Gomes Leal - distrito do Bom Nome</t>
  </si>
  <si>
    <t>SENTRA SERV. E EMPREEND. LTDA</t>
  </si>
  <si>
    <t>Tomada de Preços 013/2016</t>
  </si>
  <si>
    <t>Contratação de Empresa de Engenharia para Pavimentação e Drenagem em Diversas Ruas nos Bairros de Matriz da Luz, Lages, Irineu Teixeira, Tiúma e Constantino, no Município de São Lourenço da Mata/PE</t>
  </si>
  <si>
    <t>SENTRA SERVIÇOS E EMPREENDIM,ENTOS LTDA</t>
  </si>
  <si>
    <t>OBRA NÃO INICIADA</t>
  </si>
  <si>
    <t>Tomada de Preços 009/2016</t>
  </si>
  <si>
    <t>Contratação de Empresa de Engenharia para Reforma do Pátio da Feira Amaro Alves de Souza, no Centro do Município de São Lourenço da Mata/PE</t>
  </si>
  <si>
    <t>Tomada de Preços 014/2016</t>
  </si>
  <si>
    <t>Contratação de Empresa de Engenharia para Pavimentação e Drenagem nos Bairros de Chã da Tábua e Parque Capibaribe, no Município de São Lourenço da Mata/PE</t>
  </si>
  <si>
    <t>Tomada de Preços 015/2016</t>
  </si>
  <si>
    <t>Contratação de Empresa de Engenharia para Pavimentação e Drenagem em Diversas Ruas nos Bairros de Muribara, Penedo e Umuarama, no Município de São Lourenço da Mata/PE</t>
  </si>
  <si>
    <t>Tomada de Preços 012/2016</t>
  </si>
  <si>
    <t>Contratação de Empresa de Engenharia para Pavimentação e Drenagem na Rua das Rosas e Rua da Prata, nos Bairros de Penedo e Muribara, respectivamente, no Município de São Lourenço da Mata/PE</t>
  </si>
  <si>
    <t xml:space="preserve">90 DIAS               90 DIAS            </t>
  </si>
  <si>
    <t>Tomada de Preços 003/2016</t>
  </si>
  <si>
    <t>Contratação de Empresa de Engenharia Para Reforma da Quadra de Areia com Alambrado e Reforma da Praça José Antônio da Silva, Localizados Rua Guabiraba na Vila Ercina Lapenda  no Município de São Lourenço da Mata/PE</t>
  </si>
  <si>
    <t>90 DIAS               90 DIAS</t>
  </si>
  <si>
    <t>M&amp;M EMPREENDIMENTO E INCORPORAÇÃO LTDA ME</t>
  </si>
  <si>
    <t>Carta- Convite  018/2016</t>
  </si>
  <si>
    <t>Contratação da Empresa de Engenharia para Construção de 20 (Vinte) Pórticos em Estrutura Metálica, nas Entradas dos Bairros do Município de São Lourenço da Mata-PE</t>
  </si>
  <si>
    <t>M A DA SILVA CONSTRUTORA E SERVIÇOS EIRELI - EPP</t>
  </si>
  <si>
    <t>Carta- Convite  029/2016</t>
  </si>
  <si>
    <t>Contratação de Empresa de Engenharia para Execução de Restauração de Iluminação dos Campos de Futebol Distribuídos nos Bairros de Muribara, Vila do Reinado, Penedo, Várzea Fria e Matriz da Luz no Município de São Lourenço da Mata-P</t>
  </si>
  <si>
    <t>Carta- Convite  008/2016</t>
  </si>
  <si>
    <t>Contratação de Empresa de Engenharia para Construção de Unidade Básica de Saúde no Engenho Concórdia no Município de São Lourenço da Mata/PE</t>
  </si>
  <si>
    <t>23.159.046/0001-53</t>
  </si>
  <si>
    <t xml:space="preserve">D’ GUILHERME CONSTRUTORA EIRELI ME </t>
  </si>
  <si>
    <t>Carta- Convite  023/2016</t>
  </si>
  <si>
    <t>Contratação de Empresa de Engenharia para Pavimentação e Drenagem na Rua ao Lado do Banco Itaú, Centro do Município de São Lourenço da Mata/PE</t>
  </si>
  <si>
    <t>17.609.678/0001-00</t>
  </si>
  <si>
    <t xml:space="preserve">PILAR PARTICIPAÇÕES E LOCAÇÕES EIRELI ME </t>
  </si>
  <si>
    <t>Carta- Convite  024/2016</t>
  </si>
  <si>
    <t>Contratação de Empresa de Engenharia para Execução de Guarda-Corpo para Pontes e Canais, Loca Município de São Lourenço da Mata/PE</t>
  </si>
  <si>
    <t>Carta-Convite 014/2016</t>
  </si>
  <si>
    <t>Contratação de Empresa de Engenharia para Execução de Reforma do Centro de Reabilitação de Fisioterapia, Localizada na Rua Alcântara, no Centro do Município de São Lourenço da Mata-PE</t>
  </si>
  <si>
    <t>Carta- Convite  027/2016</t>
  </si>
  <si>
    <t>Contratação de Empresa de Engenharia para Execução de Serviços de  Reforma na Creche Municipal Rosina  Labanca Localizada na Rua 18, s/n°, Bairro Parque Capibaribe no Município de São Lourenço da Mata-PE</t>
  </si>
  <si>
    <t>Carta- Convite  025/2016</t>
  </si>
  <si>
    <t>Contratação de Empresa de Engenharia para Execução de Drenagem com Construção de Ponta de Ala, Localizado no Bairro de Constantino, no Município de São Lourenço da Mata/PE</t>
  </si>
  <si>
    <t xml:space="preserve">J.C.M  CONSTRUÇÕES LTDA ME </t>
  </si>
  <si>
    <t>D’ GUILHERME CONSTRUTORA EIRELI ME</t>
  </si>
  <si>
    <t>Dispensa 008/2016</t>
  </si>
  <si>
    <t>CONTRATAÇÃO DA EMPRESA DE ENGENHARIA PARA REFORMA DA CRECHE UMUARAMA LOCALIZADA NA 1ª TRAVESSA DUQUE DE CAXIAS, Nº 29, BAIRRO UMUARAMA, NO MUNICÍPIO DE SÃO LOURENÇO DA MATA-PE</t>
  </si>
  <si>
    <t>30 DIAS                 30 DIAS                 30 DIAS               30 DIAS                     30 DIAS               30 DIAS                30 DIAS</t>
  </si>
  <si>
    <t>Dispensa 016/2016</t>
  </si>
  <si>
    <t>Contratação da Empresa de Engenharia para Execução de Drenagem em Canal por trás da Casa nº 49 da Rua Dr. José Sotero Souza, Centro do Município de São Lourenço da Mata-PE</t>
  </si>
  <si>
    <t>Pavimentação em paralelepípedos graniticos na Estrada de Acesso a Chã do Esquecido ETAPAS II e III</t>
  </si>
  <si>
    <t>04.496.374/0001-09</t>
  </si>
  <si>
    <t>BRUMAC CONSTRUÇÕES LTDA</t>
  </si>
  <si>
    <t>51/2011</t>
  </si>
  <si>
    <t>TP nº 002/2010</t>
  </si>
  <si>
    <t>Construção de 122 Módulos Sanitários Domiciliares</t>
  </si>
  <si>
    <t>09.276.855/0001-14</t>
  </si>
  <si>
    <t>Lemos de Almeida Empreend. Ltda</t>
  </si>
  <si>
    <t>46/2010</t>
  </si>
  <si>
    <t>TP nº 03/2010</t>
  </si>
  <si>
    <t>Pavimentação em paralelepípedos garniticos da estrada de acesso a Chã do Esquecido ETAPA I</t>
  </si>
  <si>
    <t>294145-09</t>
  </si>
  <si>
    <t>A.A de Souza Junior Engenharia-ME</t>
  </si>
  <si>
    <t>62/2010</t>
  </si>
  <si>
    <t>120 Dias</t>
  </si>
  <si>
    <t>Governo Federal</t>
  </si>
  <si>
    <t xml:space="preserve">Contratação de Empresa para Execução dos Serviços de Construção de Cozinha, Refeitório e Depósito da Escola Municipal do Bairro Mutirão e do Distrito de Água Branca , neste município. </t>
  </si>
  <si>
    <t>TP005/2011</t>
  </si>
  <si>
    <t>Serviços de Construção de uma Cozinha Comunitária no Bairro Bom Jesus.</t>
  </si>
  <si>
    <t>706070/2009</t>
  </si>
  <si>
    <t>Immobiliare Construtora e Incorporadora Ltda.</t>
  </si>
  <si>
    <t>071/2011</t>
  </si>
  <si>
    <t>1.620 Dias</t>
  </si>
  <si>
    <t>J.E. Gomes Sampaio &amp; CIA LDTA</t>
  </si>
  <si>
    <t>CV005/2015</t>
  </si>
  <si>
    <t>Contratação de Pessoa Jurídica para Execução dos Serviços de Reforma da Praça da Avenida Afonso Magalhães, entre o nº150 e nº44</t>
  </si>
  <si>
    <t>Cancelada - Devido a falta de recursos,fez-se necessário a recisão contratual, sendo os serviços lançados com reprogramação para recursos do FEM</t>
  </si>
  <si>
    <t>Contratação de Pessoa Jurídica para Execução dos Serviços de Construção de Pavimento em Paralelepípedo Granítico nas Ruas Esperança e Baixa Renda, Bairro Malhada, neste Município</t>
  </si>
  <si>
    <t>12/07/2013</t>
  </si>
  <si>
    <t>Contratação de Pessoa Jurídica para Execução dos Serviços de Construção de Pavimento em Paralelepípedo Granítico nas Ruas Esperança, Baixa Renda, Travessa 5 e Rua Vicente Inácio de Oliveira, Bairro Malhada, neste Município</t>
  </si>
  <si>
    <t>Souza e Correia Construções Ltda</t>
  </si>
  <si>
    <t>11/07/2013</t>
  </si>
  <si>
    <t>Contratação de Empresa para Execução do Serviços de Construção de Cobertura da Quadra Poliesportiva 627m², Localizada na Escola Vicente Inácio de Oliveira no Bairro Mutirão.</t>
  </si>
  <si>
    <t>20.530.271/0001-66</t>
  </si>
  <si>
    <t>RVG - Construtora e Serviços Ltda</t>
  </si>
  <si>
    <t>Contratação de Empresa para Construção de Pilares na Quadra Luiza Kehrle, deste Município</t>
  </si>
  <si>
    <t>20.229.039/0001-92</t>
  </si>
  <si>
    <t>J. Matos Construtora Ltda.</t>
  </si>
  <si>
    <t>135/2015</t>
  </si>
  <si>
    <t>20/09/2015</t>
  </si>
  <si>
    <t>NORDESTE CONSTRUÇÕES INSTALAÇÕES E LOCAÇÕES LTDA -ME</t>
  </si>
  <si>
    <t>RECUPERAÇÃO E MELHORIA DE DIVERSAS ESCOLAS MUNICIPAIS</t>
  </si>
  <si>
    <t>12.929.067/0001-94</t>
  </si>
  <si>
    <t>AÇÃO X CONSTRUTORA LTDA-ME</t>
  </si>
  <si>
    <t>CONSTRUÇÃO DE SETE (07) BOX NA ÁERA EXTERNA DO MERCADO PÚBLICO MUNICIPAL</t>
  </si>
  <si>
    <t>RECUPERAÇÃO E MELHORIA DE DIVERSOS POSTOS DE SAÚDE</t>
  </si>
  <si>
    <t>PAVIMENTAÇÃO EM PARALELEPIPEDOS PEDRA GRANITICA E MEIO FIO NAS RUAS DIVERSAS</t>
  </si>
  <si>
    <t>19829313/0001-85</t>
  </si>
  <si>
    <t>EVERALDO BALBINO SILVA EIRELI-ME</t>
  </si>
  <si>
    <t xml:space="preserve">PAVIMENTAÇÃO EM PARALELEPIPEDOS PEDRA GRANITICA E MEIO FIO NA RUA NOSSA SENHORA DE LOURDES </t>
  </si>
  <si>
    <t>198.29313/0001-85</t>
  </si>
  <si>
    <t>13/2014</t>
  </si>
  <si>
    <t>T.P.  N°002/2014 PROC. LIC. N°021/2014</t>
  </si>
  <si>
    <t>Ampliação e Reforma das Instalações Físicas da Policlínica Municipal do Surubim, Visando á Tranformação em uma Unidade de Pronto Atendimento- UPA, Tipo I, Com Adequações, no Município de Surubim.</t>
  </si>
  <si>
    <t>MANUTENÇÃO  OPERAÇÃO, ALTERAÇÃO E AMPLIAÇÃO  DE INFRA ESTRUTURA SISTEMA DE  ILUMINAÇÃO PÚBLICA, DESTE MUNICÍPIO.</t>
  </si>
  <si>
    <t>ELETRO - LASER SERVIÇOS LTDA.</t>
  </si>
  <si>
    <t>EXECUÇÃO DIRETA PREGÃO 00032/2015</t>
  </si>
  <si>
    <t>Contratação de empresa de enganharia para construção de 05(cinco) UBS- Unidades Basicas de Saúde, em diversas localidades no Município de Tacaimbó/PE</t>
  </si>
  <si>
    <t>Ministerio da Saude</t>
  </si>
  <si>
    <t xml:space="preserve"> 10.570.642/0001-80                                                                                                                                                         15.088.207/0001-37</t>
  </si>
  <si>
    <t xml:space="preserve">Construtora Leite Barros Ltda - ME   (Lote I e IV) / S.A Souza Construtora Ltda- EPP  (Lote II,III e V) </t>
  </si>
  <si>
    <t>039/2014                     040/2014</t>
  </si>
  <si>
    <t>16/10/2015</t>
  </si>
  <si>
    <t>Tomada de Preços /  002/2014</t>
  </si>
  <si>
    <t>Construção de Unidade Básica de Saúde na Agrovila 09</t>
  </si>
  <si>
    <t>Ob.002/2014</t>
  </si>
  <si>
    <t>Houve Distrato e os serviços remanescentes foram licitados e executados.</t>
  </si>
  <si>
    <t>****************</t>
  </si>
  <si>
    <t>********************</t>
  </si>
  <si>
    <t>*************</t>
  </si>
  <si>
    <t>Construção de Quadra Coberta na Escola Padre Ibiapina – Gravatá do Ibiapina</t>
  </si>
  <si>
    <t xml:space="preserve">ACR CONSULTORIA E PROJETOS LTDA. </t>
  </si>
  <si>
    <t>******************************</t>
  </si>
  <si>
    <t>14.812.938/0001-10</t>
  </si>
  <si>
    <t>JOSÉ SOARES DE BRITO</t>
  </si>
  <si>
    <t>004.906.537-82</t>
  </si>
  <si>
    <t>JOSÉ FELIPE DA SILVA</t>
  </si>
  <si>
    <t>Aplicação de Lajotas de Concreto 50X50 em Passeio Público na Rua José Bezerra de Andrade – Sede</t>
  </si>
  <si>
    <t>Aplicação de Lajotas de Concreto 50X50 na Ciclovia da Praça Otto Sailer – Sede</t>
  </si>
  <si>
    <t>Aplicação e Assentamento de Piso de Granilito Artificial com Juntas de Nylon na Praça de Alimentação Magno Moura</t>
  </si>
  <si>
    <t>213.899.934-34</t>
  </si>
  <si>
    <t>GERCINO JOAQUIM DE ANDRADE</t>
  </si>
  <si>
    <t>Cobertura e Revestimento do Canal da Beira Rio – Sede ( IV Etapa )</t>
  </si>
  <si>
    <t>214.019.854-91</t>
  </si>
  <si>
    <t>Cobertura e Revestimento do Canal da Beira Rio – Sede ( V Etapa )</t>
  </si>
  <si>
    <t xml:space="preserve">SECRETARIA DAS CIDADES DO GOVERNO DO ESTADO </t>
  </si>
  <si>
    <t>Construção de Passeio com Intertravados na Praça Antônio Pereira</t>
  </si>
  <si>
    <t>20.615.512/0001-70</t>
  </si>
  <si>
    <t>EVERTON DIEGO DOS SANTOS CARVALHO</t>
  </si>
  <si>
    <t>Iluminação em LED da Praça Otto Sailer e Implantação de Fonte no Lago da Praça Antônio Pereira</t>
  </si>
  <si>
    <t>C&amp;M CONSTRUÇÃO E PRESTAÇÃO DE SERVIÇOS</t>
  </si>
  <si>
    <t>Pavimentação da Rua Das Angélicas – Zamba – Sede</t>
  </si>
  <si>
    <t>Pavimentação da Rua Das Avencas – Zamba – Sede</t>
  </si>
  <si>
    <t>Pavimentação da Rua Das Gardênias – Zamba – Sede</t>
  </si>
  <si>
    <t>Pavimentação da Rua Dos Lírios – Zamba – Sede</t>
  </si>
  <si>
    <t>Pavimentação da Rua Flórida – North Park – Sede</t>
  </si>
  <si>
    <t>091.343.454-00</t>
  </si>
  <si>
    <t>JOSÉ EDSON FERREIRA DE SOUZA</t>
  </si>
  <si>
    <t>Pavimentação da Rua Otacílio Marreiro – Marília – Sede</t>
  </si>
  <si>
    <t>Pavimentação da Rua Pe. Ibiapina – Gravatá do Ibiapina</t>
  </si>
  <si>
    <t>Pavimentação da Rua Presidente Tancredo Neves – Jerimum</t>
  </si>
  <si>
    <t>Pavimentação da Rua Severino Caetano – Alto da Boa Vista – Sede</t>
  </si>
  <si>
    <t>Pavimentação da Rua Vidal Pereira – Jerimum</t>
  </si>
  <si>
    <t>Prestação de Serviço de Concretagem para os Pilares da Quadra Coberta Da Escola Chefe Leandro – Jerimum</t>
  </si>
  <si>
    <t>Prestação de Serviço na Construção de Fossa Comunitária da Vila do Algodão</t>
  </si>
  <si>
    <t>066.803.604-47</t>
  </si>
  <si>
    <t>CARLOS ALBERTO DA SILVA ROCHA</t>
  </si>
  <si>
    <t>Prestação de Serviços na Pavimentação da Rua do Colégio em Mateus Vieira</t>
  </si>
  <si>
    <t>108.318.364-82</t>
  </si>
  <si>
    <t>CARLOS DIOGO DA SILVA</t>
  </si>
  <si>
    <t>Prestação de Serviços na Pavimentação da Rua do Colégio em Mateus Vieira - ( IV ETAPA )</t>
  </si>
  <si>
    <t>Prestação de Serviços na Pavimentação da Rua do Colégio em Mateus Vieira – (II ETAPA)</t>
  </si>
  <si>
    <t>Prestação de Serviços na Pavimentação da Rua do Colégio em Mateus Vieira – (III ETAPA)</t>
  </si>
  <si>
    <t>Prestação de Serviços na Pavimentação na Comunidade do Sítio Oití</t>
  </si>
  <si>
    <t>Prestação de Serviços na Pavimentação na Comunidade do Sítio Oití – (II ETAPA)</t>
  </si>
  <si>
    <t>Prestação de Serviços Para Construção da Praça da Serrinha – Pão de Açúcar</t>
  </si>
  <si>
    <t>117.368.298-82</t>
  </si>
  <si>
    <t>MANOEL MESSIAS ROMÃO DA SILVA</t>
  </si>
  <si>
    <t>Reforma e Reconstrução do Lago da Praça Antônio Pereira</t>
  </si>
  <si>
    <t>Execução de obra e serviços de engenharia relativos a melhoria sanitárias tipo construção de redes de esgoto e limpeza de fossas já existentes em diversas ruas, na sede do município e povoado do Guarani.</t>
  </si>
  <si>
    <t xml:space="preserve">J. N. Construtora Eireli - EPP </t>
  </si>
  <si>
    <t>TOMADA DE PREÇOS 003/2015 PROCESSO 020/2015</t>
  </si>
  <si>
    <t>409 DIAS</t>
  </si>
  <si>
    <t>TOMADA DE PREÇOS 002/2013 PROCESSO 013/2013</t>
  </si>
  <si>
    <t>REFORMA DA SECRETARIA DE ADMINISTRAÇÃO</t>
  </si>
  <si>
    <t>MANUTENÇÃO DO PRÉDIO DA ESCOLA DOM BOSCO</t>
  </si>
  <si>
    <t>COMPLEMENTAÇÃO DA PINTURA DA ESCOLA DR. ANTÔNIO GALVÃO CAVALCANTI</t>
  </si>
  <si>
    <t>MANUTENÇÃO DO PRÉDIO DA ESCOLA LEÃO XIII</t>
  </si>
  <si>
    <t>Contratação de empresa de Engenharia para execução dos serviços em diversas ruas e em diversos bairros da cidade de Toritama, com material e mão-de-obra da empreiteira.</t>
  </si>
  <si>
    <t>Ogel - Obras Gerais Ltda - EPP</t>
  </si>
  <si>
    <t>Viacon Contruções e Montagens Ltda</t>
  </si>
  <si>
    <t>TP nº 005/2014</t>
  </si>
  <si>
    <t>Serviços de pavimentação e araalelepipados co pedras graniticas de ruas, avnidas e travessas no unicípio de Tortama, co material e mão- de- obra da empreiteira.</t>
  </si>
  <si>
    <t>PAV. EM PARALELEPÍPEDOS - RUA 30 BAIXA VERDE, TRAV 7 DE SETEMBRO E (TRECHO) RUA OITO NO TETO DO POVO</t>
  </si>
  <si>
    <t>08.748.873/0001-99</t>
  </si>
  <si>
    <t>MÊNFIS ENGENHARIA LTDA</t>
  </si>
  <si>
    <t>TP- Nº 001/2014</t>
  </si>
  <si>
    <t>CONSTRUÇÃO DA QUADRA POLIESPORTIVA</t>
  </si>
  <si>
    <t>11762/2014</t>
  </si>
  <si>
    <t>PITOMBEIRA LTDA-EPP</t>
  </si>
  <si>
    <t>059/2014 - CPL</t>
  </si>
  <si>
    <t xml:space="preserve"> TP-001/2014</t>
  </si>
  <si>
    <t xml:space="preserve">CONSTRUÇÃO DE UNIDADE BÁSICA DE SAÚDE NO DISTRITO DE SANTA RITA </t>
  </si>
  <si>
    <t>PROPOSTA 112931120 00113000</t>
  </si>
  <si>
    <t>020/2014 - CPL</t>
  </si>
  <si>
    <t>CONVITE Nº 009/2015- CPL</t>
  </si>
  <si>
    <t>MANUTEÇÃO DE PAVIMENTO EM PARALELEPÍPEDOS  GRANÍTICOS E REDE DE ESGOTOS</t>
  </si>
  <si>
    <t>19.690.539/0001-48</t>
  </si>
  <si>
    <t>CONSTRUSERVICE CONSTRUÇÃO E  SERVIÇOS LTDA</t>
  </si>
  <si>
    <t>091/2015-CPL</t>
  </si>
  <si>
    <t>TP- Nº 002/2014</t>
  </si>
  <si>
    <t>PAVIMENTAÇÃO EM PARALELEPÍPEDOS NAS RUAS: MANOEL TUNÚ DA COSTA, VEREADOR ANTONIO LOPES, FRANCISCA PASTORA E TRAVESSA IZÍDIO PEREIRA</t>
  </si>
  <si>
    <t>070/2014-CPL</t>
  </si>
  <si>
    <t>CONVITE N°015/2016</t>
  </si>
  <si>
    <t xml:space="preserve">REFORMA E AMPLIAÇÃO DO HOSPITAL NA SEDE DO MUNICIPIO </t>
  </si>
  <si>
    <t>TERMO DE ADESÃO Nº 175/2014</t>
  </si>
  <si>
    <t>J. ANCHIETA SILVA LTDA</t>
  </si>
  <si>
    <t>PAVIMENTAÇÃO EM PARALELEPÍPEDOS NAS RUAS: ULISSES PEREIRA E PERGENTINO JOSÉ DA SILVA</t>
  </si>
  <si>
    <t>070/2014 - CPL</t>
  </si>
  <si>
    <t>24/08/201</t>
  </si>
  <si>
    <t>CONSTRUÇÃO DE QUADRA ESCOLAR COBERTA PARA ESCOLA VEREADOR AFONSO BEZERRA</t>
  </si>
  <si>
    <t>06.02.2015 30.10.2015</t>
  </si>
  <si>
    <t>CONSTRUÇÃO DE PAVIMENTAÇÃO EM PARALELEPÍPEDOS GRANÍTICOS, NAS RUAS: PROFESSOR FRANCISCO PEREIRA COELHO, MANOEL ANTONIO DO NASCIMENTO, JOÃO RODRIGUES, JOSÉ AVELINO DE BARROS, LUIZ SOARES DA SILVA, OSVALDO FIGUEIRÔA LEITE, MAJOR LUDUÉRIO E AVENIDA 01 E 02 DA PE 90</t>
  </si>
  <si>
    <t>141/2010</t>
  </si>
  <si>
    <t>27.01.2015</t>
  </si>
  <si>
    <t>CONCLUÍDA, RESTANTE DO VALOR ESTORNADO</t>
  </si>
  <si>
    <t>CONSTRUÇÃO DE SISTEMA DE ESGOTAMENTO SANITÁRIO NO LOTEAMENTO MANOEL DE SOUZA LEAL</t>
  </si>
  <si>
    <t>CONVÊNIO Nº 015/2010</t>
  </si>
  <si>
    <t>08.320.395/0001-96</t>
  </si>
  <si>
    <t>ASSOCIAÇÃO SALLUS ET CÁRITAS</t>
  </si>
  <si>
    <t>PMV/ASC Nº 001/2010</t>
  </si>
  <si>
    <t>TP- Nº 004/2014 – PROCESSO LICITATÓRIO Nº 057/2014</t>
  </si>
  <si>
    <t>CONSTRUÇÃO DE SANEAMENTO NA CIDADE, NAS LOCALIDADES: ALTO DO CRUZEIRO, RUA PROFESSOR FRANCISCO PEREIRA COELHO, ACESSO A RUA JOAQUIM BARBOSA DA SILVA, GRAVATAZINHO, LOTEAMENTO DANILO ANDRADE E NOS DISTRITOS CHÃ DO JUNCO E CAPELA NOVA, EM VERTENTES</t>
  </si>
  <si>
    <t>271/2014</t>
  </si>
  <si>
    <t>09.05.2016</t>
  </si>
  <si>
    <t>Pregão 002/2014</t>
  </si>
  <si>
    <t>Unidade Básica de Saúde da Família na Travessa Álvaro Tavares Veiga no Lot. Nova Vicência</t>
  </si>
  <si>
    <t>MAV. CONSULTORIA E SERVIÇOS  LTDA</t>
  </si>
  <si>
    <t>BATISTA E VASCONCELOS LTDA-ME</t>
  </si>
  <si>
    <t>EMPRESA VASCONCELOS &amp; MAGALHÃES EMPREENDIMENTOS LTDA</t>
  </si>
  <si>
    <t>PAVIMENTAÇÃO EM REVESTIMENTO ASFÁLTICO DO PRINCIPAL ACESSO AO DISTRITO DE MURUPÉ</t>
  </si>
  <si>
    <t>TEP CONSTRUTORA LTDA-EPP</t>
  </si>
  <si>
    <t>Processo nº029/2015</t>
  </si>
  <si>
    <t xml:space="preserve">Serviços de Reposição em Paralelepipedos em diversas ruas do Minicipo </t>
  </si>
  <si>
    <t>Pedroza Vasconcelos Empreendimento LTDA</t>
  </si>
  <si>
    <t>Construção de Muro de Arrimo do Distrito de Murupé.</t>
  </si>
  <si>
    <t>Pavimentação em Paralelepípedos graniticos na Rua:Projetoda no Loteamento  Cromacio Figueiredo</t>
  </si>
  <si>
    <t>10.826.193/0001-41</t>
  </si>
  <si>
    <t>TOP CONSTRUTORA LTDA-ME</t>
  </si>
  <si>
    <t>RECONSTRUÇÃO, REVITALIZAÇÃO E PAISAGISMO DA PRAÇA DRºMARIO RAMOS DE ANDRADE LIMA. FEM 2014</t>
  </si>
  <si>
    <t xml:space="preserve">P.L: 093/2015                       T.P: 016/2015 </t>
  </si>
  <si>
    <t>Pavimentação  em Pedras Graníticas em Diversos Bairros no Municipio de Vitória de Santo Antão</t>
  </si>
  <si>
    <t>J.V.Silva Engenharia Ltda EPP</t>
  </si>
  <si>
    <t>1º Aditivo Execução</t>
  </si>
  <si>
    <t>C.C 003/2014</t>
  </si>
  <si>
    <t>4490 5100</t>
  </si>
  <si>
    <t>CONSTRUÇÃO DE UMA ESCOLA COM QUATRO SALAS DE AULA - SERRA DO IPA- PADRÃO FNDE</t>
  </si>
  <si>
    <t>CONSTRUTORA PLENA LTDA</t>
  </si>
  <si>
    <t>1º - 270 dias, 2º - 210 dias, 3º - 270 dias</t>
  </si>
  <si>
    <t xml:space="preserve">72.095,63 </t>
  </si>
  <si>
    <t>TOMADA DE PREÇO 011/2014</t>
  </si>
  <si>
    <t>REFORMA DO MATADOURO PÚBLICO DA VILA SANTA MARIA</t>
  </si>
  <si>
    <t>MAENGE EMPREENDIMENTOS E CONSTRUÇÕES LTDA</t>
  </si>
  <si>
    <t>45/2014</t>
  </si>
  <si>
    <t>16.464,89</t>
  </si>
  <si>
    <t>CONTRATAÇÃO DE EMPRESA PARA SERVIÇOS DE CONSTRUÇÃO DE POSTO DE SAUDE DA FAMILIA, NA COMUNIDADE LAGES, ZONA RURAL DESTE MUNICIPIO</t>
  </si>
  <si>
    <t>NORDESTE CONSTRUÇÕES INSTALAÇÕES E LOCAÇÕES LTDA ME</t>
  </si>
  <si>
    <t>Contratação de empresa especializada para prestação de serviços de construção de uma Unidade Básica de Saúde</t>
  </si>
  <si>
    <t>S. A SOUZA CONSTRUTORA LTDA</t>
  </si>
  <si>
    <t>SERVICOS DE MODERNIZACAO DO CAMPO DE FUTEBOL DA CIDADE DE TEREZINHA PE</t>
  </si>
  <si>
    <t>TP 02/2010</t>
  </si>
  <si>
    <t>CONTRATAÇÃO DE EMPRESA ESPECIALIZADA EM SERVIÇOS DE OBRAS E ENGENHARIA PARA CONSTRUÇÃO DE CRECHE ESCOLA PRO-INFANCIA, NA SEDE DESTE MUNICIPIO</t>
  </si>
  <si>
    <t>002/2010</t>
  </si>
  <si>
    <t>O &amp; M EMPREENDIMENTOS LTDA</t>
  </si>
  <si>
    <t>014/2010</t>
  </si>
  <si>
    <t>CONC. 001/2013 PL 047/2013</t>
  </si>
  <si>
    <t>EXECUÇÃO DE SERVIÇOS DE TERRAPLENAGEM DE UMA ÁREA PARA IMPLANTAÇÃO DO IFPE</t>
  </si>
  <si>
    <t>SECRETARIA DE PLANEJAMENTO E GESTÃO - SEPLAG</t>
  </si>
  <si>
    <t>MAV CONSULTORIA E SERVIÇOS LTDA - EPP</t>
  </si>
  <si>
    <t>141/2013</t>
  </si>
  <si>
    <t>12/11/2013</t>
  </si>
  <si>
    <t>Consiste na construção e ampliação do Sistema de abastecimento d'água nos Sitios Gurdião e Floresta zona rural do município de Serrita - PE.</t>
  </si>
  <si>
    <t>PL N° 035/2014</t>
  </si>
  <si>
    <t>MANUTENÇÃO E AMPLIAÇÃO DA REDE DE ESGOTAMENTO SANITÁRIO EM DIVERSAS LOCALIDADES DO MUNICÍPIO DE BELO JARDIM EMPENHO Nº 536/2016-1 NOTA Nº 090 VALOR R$ 10.473,09 * NOTA Nº 104 VALOR R$ 4.002,75 - EMPENHO Nº 536-2  NOTA Nº 104 VALOR R$
4.002,75</t>
  </si>
  <si>
    <t>REFERE-SE A PRESTAÇÃO DE SERV. DE ENGENHARIA PARA A CONSTRUÇÃO DE UMA PRAÇA DA ALIMENTAÇÃO E PATIO DE FEIRA LOCALIZADA NO BAIRRO COHAB I, CONF. CONTRATO N° 093/2014, TOMADA DE PREÇO N° 008/2014 - EMPENHO N° 489/2015-6 NOTA N° 067 VALOR R$ 15.973,07 -  EMPENHO N° 1866/2015 NOTA N° 073 VALOR R$ 19.809,15 - EMPENHO N° 1866/2015-2 NOTA N° 074 VALOR R$ 14.693,48 - EMPENHO N° 489/2015-7 NOTA N° 076 VALOR R$ 26.544,08 - NOTA N° 077 VALOR R$ 10.909,00 - 2°TERMO ADITIVO (PARCIAL) EMPENHO N° 489/2015-5 NOTA N° 063 VALOR R$ 40.651,28 - EMPENHO N° 489/2015-3 VALOR R$ 34.086,12 NOTA N° 050 - EMPENHO Nº 249/2016-1 NOTA Nº086 REF. 4º TERMO ADITIVO  REF. 7º BM VALOR R$
15.008,62 PAG. 19/02/16 - EMPENHO Nº 249/2016-2 NOTA Nº 089 VALOR R$ 15.041,96 - EMPENHO Nº 249/2016-3 NOTA Nº 091 VALOR R$ 22.175,01 - BM 10 NOTA Nº 093 (31/03/16) R$ 33.713,14 - EMPENHO Nº
249/16-4 NOTA Nº 093 PAG. PARCIAL VALOR R$ 27.774,41/EMPENHO Nº
673/16-1 VALOR R$ 5.938,73</t>
  </si>
  <si>
    <t>CONSTRUÇÃO DE UMA QUADRA DE ESPORTES COM VESTIÁRIO NO CENTRO COMUNITÁRIO CASTELINHO (LOTE I) CONSTRUÇÃO DE UMA QUADRA POLIESPORTIVA COBERTA COM PALCO - ESCOLA M. DR. SEBASTIÃO CABRAL (LOTE II) - EMPENHO N° 1045/2015-3 NOTA N° 884 VALOR R$ 16.311,63 - EMPENHO N° 928/2015-2, EMPENHO N° 2111/2015- 1  NOTA N° 923 VALOR R$ 49.280,66 - EMPENHO Nº 375/2016-1 REF. 5º BM NOTA Nº953 VALOR R$ 23.767,08 PAG. 29/02/16 *NOTA Nº 996  VALOR R$ 45.112,60 - EMPENHO Nº 375/16-2 NOTA Nº 996 VALOR R$ 45.112,60 * NOTA Nº 1047 VALOR R$ 14.349,01
N/F - 1068 -R$44.901,79 - BM 06
EMP. 189/17-1 - N/F - 1068 - R$44.901,79 N/F  1071 R$ 7.732,08 - BM 06 - REAJUSTE
EMP.189/2017-2   N/F 1071 - R$7.732,08 - BM6 (REAJUSTE) N/F - 1083 - R$ 24.611,58 - BM - 07
N/F - 1084 - R$ 4.459,61
N/F 1087 - R$ 20.759,52 - BM 07
N/F 1088 - R$ 3.989,97 - BM 07 (REAJUSTE)
EMP. 189,17 - 5 R$ 20.759,52 - BM 07
N/F - 1089 - R$ 35.564,40 - BM 08  ( SEBAST. CABRAL) N/F 1091 R$ 46.646,42 BM 08 (CASTELINHO)
N/F 1092 - R$ 8.951,44 BM 08 (CASTELINHO/REAJ.) EMP. 375/16-3 N/F1074 - BM 06 R$14.349,01
EMP. 1531/2017 - R$ 24.611,58/ NF 1083 - BM 07 EMP.1531/2017- R$ 4.459,61 - (REAJUSTE) BM07 EMP. 189/2017-5 R$ 20.759,52 (BM 07)
EMP. 1600/2017 - R$ 3.989,97 (REAJUSTE) BM 07 EMP. 1679/2017- 2 N/F 1092 = R$8.951,44</t>
  </si>
  <si>
    <t>TC PAC Nº 4304/2013 TC PAC Nº 730/2011</t>
  </si>
  <si>
    <t>458.146,99
497.955,72</t>
  </si>
  <si>
    <t>AMPLIAÇÃO DE 01 (UMA) UPA UNIDADE DE PRONTO ATENDIMENTO (UPA 24 H) HOSPITAL JULIO ALVES DE LIRA - NOTA N° 880 VALOR R$ 154.928,27 - NOTA N° 937 VALOR R$ 48.489,65 *NOTA Nº 972 VALOR R$
112.896,24 - EMPENHO Nº 325/15-5 NOTA Nº 880 VALOR R$ 154.928,27 - EMPENHO Nº 1798/15-1 NOTA Nº 937 VALOR R$ 48.489,65 - EMPENHO Nº 1286/16-1 NOTA Nº 972 VALOR R$ 112.896,24 - EMPENHO Nº 2140/16- 1 -NF N° 1051 VALOR VR 33.078,12 DT PG 29/12/16(33.078,12) N/F 1039=
6.015,50 - N/F 1041= 17.260,55 N/F 1044= 12.496,56 N/F 1040 = 17.033,77
N/F 1043= 16.563,00 N/F 1039= 6.015,50 N/F1042= 5.713,05 N/F1043=
16.563,00 EMPENHOS: 2340/16 -1286/16-1 = 105.445,09 Nota Fiscal - 1062 - BM 12 - R$ 35.234,31
EMP. 237/17 -1 - N/F 1062 - R$35.234,31 EMP. 384/17 - 1 - N/F 1063 - R$6.747,37 EMP. 385/17 - 1 - N/F 1064 - R$67.472,48 N/F 1064 - R$67.472,48
N/F - 1069 - R$45.437,51 - BM 14
EMP. 588/17 -1 R$45.437,51 N/F - 1069 N/F 1073 - R$33.190,55 - BM15
N/F 1074 - R$ 6.840,59- BM15 (REAJUSTE) EMP. 774/2017-1  N/F - 1073 R$33.190,65 N/f 1077 - R$ 35.389,15 - BM 16
N/F 1078 - R$ 7.293,70 BM 16 (reajuste) EMP. 921/17-1 N/F 1078 - R$ 7.293,70 EMP. 922/17 - 1 N/F 1077 - R$ 35.389,15
N/F 1079 - BM 17 R$ 19.979,64
N/F 1080 - BM 17 R$ 4.117,80 (REAJUSTE)
N/F 1081 - BM 18 R$ 9.686,52
N/F 1082 - BM 18 R$ 1.993,48 (REAJUSTE)
N/F - 1085 - R$ 9.364,67 - BM 14º (REAJUSTAMENTO) N/F 1086 - R$ 13.777,88 - BM 13 ( REAJUSTE)
EMP. 1222/17 - N/F 1080 = R$ 4.117,80 EMP. 1223/17  N/F 1082 = R$ 1.993,48 EMP. 1185/17 N/F 1085 = R$ 9.364,67 EMP. 775/17 - NF 1074 = R$ 6.840,59 EMP. 922/17 N/F 1077 = R$ 35.389,15 EMP.921/17 N/F 1078 = R$ 7.293,70
EMP. 234/17 - 4 N/F 1081 = 9.686,52 EMP. 237/17 - 2 N/F 1079 = R$19.979,64
EMP. 1223/17 - 1.993,48 - N/F 1082 - REAJUSTE BM 18 EMP 1222/17 R$ 4.117,80 N/F 1080 REAJUSTE BM 17
EMP.1185/17 R$ 9.364,67 N/F 1085 REAJUSTE BM 14</t>
  </si>
  <si>
    <t>CONSTRUÇÃO DO PARQUE AMBIENTAL * NOTA Nº 053 VALOR R$ 82.791,56 * NOTA N° 070 VALOR R$ 109.649,37 - EMPENHO 248/2016-1 NOTA Nº 095 VALOR R$ 52.222,80 * NOTA Nº 127 (06/06/2016) VALOR R$ 49.008,23 * NOTA Nº 153 VALOR R$ 61.984,89 * NOTA Nº 157 VALOR R$
91.222,26 -  EMPENHO Nº 248/16-32 NOTA Nº 127 VALOR R$ 14.087,57 * NOTA Nº 163       VALOR R$ 85.397,57 - EMPENHO VALOR R$ 91.222,26 NOTA N° 157 - EMPENHO VALOR R$ 85.397,57 NOTA N° 163</t>
  </si>
  <si>
    <t>REFORMA DO HOSPITAL JÚLIO ALVES DE LIRA - BELO JARDIM/PE - EMPENHO N° 2151/2015-1 NOTA N° 023 VALOR R$ 13.970,54 - EMPENHO N° 2151/15-2 NOTA N° 024 VALOR R$ 5.903,28 - EMPENHO N° 2151/2015-3 NOTA N° 025 VALOR R$ 37.457,91 - EMPENHO N°
2151/2015-4 NOTA N° 026 VALOR R$ 6.679,45 - EMPENHO N° 2151/2015-
5 NOTA N° 28 VALOR R$ 6.261,77 - EMPENHO N° 2151/2015-6 NOTA N°
029 VALOR R$ 36.627,25 EMPENHO Nº 55/2016 -1 REF. LOTE lll  1 BM ACESSO PRINCIPAL NOTA Nº 039 VALOR R$ 80.039,22 - EMEPNHO Nº 55/2016 -2 LOTE l 3 BM REFORMA INTERNA DO HOPITAL NOTA Nº 040 VALOR R$ 6.663,59 - EMPENHO 55/2016 -3 BLOCO CIRUGICO LOTE ll NOTA Nº 042 3 BM BLOCO CIRUGICO LOTE ll VALOR R$ 14.478,15 PAG. 94.743,15 (18/03/2016) *NOTA Nº 059 VALOR R$ 15.398,55  *NOTA Nº 056
VALOR R$ 9.713,65 *NOTA Nº 060 VALOR R$ 18.297,98 * NOTA Nº 055 VALOR R$ 2.547,60 * NOTA Nº 052 VALOR R$ 94.241,65 * NOTA Nº 054 VALOR R$ 7.208,47 * NOTA Nº 051 VALOR R$ 71.186,34 * NOTA Nº  057 VALOR R$ 12.396,10 * NOTA Nº 061 VALOR R$ 71.698,62 *NOTA Nº 45 VALOR R$ 108.816,30 EMPENHO Nº 55/2016-4  NOTA Nº 45 VALOR R$ 50.000,00 - EMPENHO Nº 55/16-5 NOTA Nº 051 VALOR R$ 71.186,34 - EMPENHO Nº 1284/16-1 NOTA Nº 054 VALOR R$ 7.208,47 - EMPENHO Nº 1284/16-4 NOTA Nº 056 VALOR R$ 9.713,65 - EMPENHO Nº 55/16-8  NOTA Nº 057 VALOR R$ 12.396,10 * EMPENHO Nº 55/16-9 NOTA Nº 061 VALOR R$ 50.000,00 - EMPENHO Nº 55/2016-7 NOTA Nº 055 VALOR R$2.547,60 -                                   EMEPNHO Nº 1284/2016-2 NOTA Nº 060 VALOR R$ 18.297,98
EMEPENHO 1284/16 -3 N/F 059 R$15.398,55 EMPENHO 55/2016 - NF 052 - R$94.241,65</t>
  </si>
  <si>
    <t>CONTRATAÇÃO DE EMPRESA DE ENGENHARIA PARA REALIZAR OS SERVIÇOS DE IMPLANTAÇÃO DE REFORMA DAS ESCOLAS:  SEBASTIÃO CABRAL, ESCOLA VEREADOR *JOAQUIM,ESCOLA MANOEL DOMINGOS E ESCOLA NOSSA SENHORA - EMPENHO Nº 657/2016-1 NOTA Nº 1326 VALOR R$ 34.750,77 * NOTA Nº 1328 VALOR R$ 15.354,92
* NOTA Nº 1526 VALOR R$ 30.742,91 * NOTA N° 1909 VALOR R$ 51.120,21 * NOTA Nº 1908 VALOR R$ 29.142,12 - EMPENHO 2897/16-1 NOTA N° 1909 VALOR= R$ 51.120,21 - EMPENHO 2897/16-2 NOTA N° 1908 VALOR= 15.000,00 ( PARCELADO) - BM-04 NOTA N° 1915 - EMPENHO 3091/16-1 VALOR= 14.805,16
N/F 1929 - R$32.783,79</t>
  </si>
  <si>
    <t>CONTR. REPASSE Nº 803934/2014 PL
028/2016</t>
  </si>
  <si>
    <t>CONTRATAÇÃO DE EMPRESA DE ENGENHARIA PARA EXECUTAR OS SERVIÇOS DE PAVIMENTAÇÃO EM PARALELEPÍPEDOS GRANITICOS EM DIVERSAS RUAS *NOTA Nº 066 VALOR R$ 129.199,16 *NOTA Nº 067 VALOR R$ 127.845,78 - EMPENHO Nº 1710/16-1 NOTA Nº 066 VALOR R$ 129.199,16 * NOTA Nº 076 VALOR R$ 98.946,43 -
EMPENHO Nº 1710/16-3  NOTA Nº 076 VALOR R$ 98.946,43</t>
  </si>
  <si>
    <t>CONTR. REPASSE Nº 101760464/2014
PL 028/2016</t>
  </si>
  <si>
    <t>CONTRATAÇÃO DE EMPRESA DE ENGENHARIA PARA EXECUTAR OS SERVIÇOS DE PAVIMENTAÇÃO EM PARALELEPÍPEDOS GRANITICOS EM DIVERSAS RUAS - EMEPNHO Nº  1708/2016-2 NOTA Nº 1012 VALOR R$ 112.381,16 * NOTA Nº 1032 VALOR R$ 88.605,47 * NOTA Nº 980 VALOR R$ 78.232,61 - EMEPNHO Nº 1708/16-4 NOTA Nº 980 VALOR R$ 78.232,61 *           NOTA Nº 989 VALOR R$ 79.169,63 -
EMPENHO Nº 1708/16-4 NOTA Nº 980 VALOR R$ 78.232,61 NOTA FISCAL - 055 -  R$ 92.862,59 - 4º BM</t>
  </si>
  <si>
    <t>CONTRATAÇÃO DE EMPRESA DE ENGENHARIA PARA EXECUTAR OS SERVIÇOS DE IMPLANTAÇÃO DE EQUIPAMENTOS E ÁREA DE LAZER E RECREAÇÃO PARA CRIANÇAS E ADLESCENTES *
NOTA Nº 018 VALOR R$ 35.440,00 N/F 024 - R$ 33.444,63 - 2º BM
N/F 032 - R$86.867,33 3º BM</t>
  </si>
  <si>
    <t>PRESTAÇÃO DE SERVIÇOS ÁREA ENGENHARIA CIVIL COMPREENDENDO: FISCALIZAÇÃO, ACOMPANHAMENTO DE OBRAS, PROJETOS E AFINS
NOTA N° 079 VALOR= 5.950,00 EMP. 296/17 - R$5.950,00
Nota Fiscal=082 - R$ 5.950,00 EMP.313/17-1 N/F 081 - R$ 5.950,00
EMP. 313/2017 - 2 N/F 082 - R$ 5.950,00
EMP. 313/2017 - 3 N/F 083 - R$ 5.950,00
N/F 085 = R$5.950,00 - PERÍODO JUNHO/2017 N/F 089 = R$ 5950,00 - PERÍODO  AGOSTO 2017
EMP. 313/17 - 4 - R$ 5.950,00 N/F 084
EMP.313/17 - 5 - R$ 5.950,00 N/F 089
EMP.313/17 - 6 - R$ 5.950,00 N/F 085</t>
  </si>
  <si>
    <t>1° ADITIVO
05/01/2015
2°ADITIVO
05/06/2015 3º ADITIVO DE SUPRESSÃO 04/09/2015 4º ADITIVO PRAZO 04/11/2016</t>
  </si>
  <si>
    <t>2º ADITIVO
23/03/2015
4º ADITIVO (240 DIAS) 7º ADITIVO (23/11/17)</t>
  </si>
  <si>
    <t>1° ADITIVO
14/10/2014
2° ADITIVO
14/04/2015
6º ADITIVO
08/10/2015   7º ADITIVO 11/01/2016 8º ADITIVO 16/10/2016
9º ADITIVO
09/11/2016
10º ADITIVO
13/04/2017</t>
  </si>
  <si>
    <t>2º ADITIVO
17/11/2015
3º ADITIVO
05/2016
4º ADITIVO
11/2016</t>
  </si>
  <si>
    <t>1º ADITIVO
17/12/2015  2º ADITIVO 17/062016</t>
  </si>
  <si>
    <t>1º ADITIVO
22/01/2016  3º ADITIVO 22/04/2016 4º DITIVO 24/07/2016</t>
  </si>
  <si>
    <t>ADITIVO (18/04/16) = 45 DIAS - ADITIVO (16/05/16) = 180 DIAS  - ADITIVO (02/06/16) = 45 DIAS - ADITIVO 18/06/16 = 45 DIAS - 02/09/16 = 45 DIAS - ADITIVO 20/10/16 = 45 DIAS</t>
  </si>
  <si>
    <t>1 º ADITIVO
180 DIAS
2º ADITIVO
180 DIAS
4º ADITIVO
180 DIAS (13/06/17) 5º ADITIVO
180 DIAS (01/07/2017)</t>
  </si>
  <si>
    <t>1º ADITIVO
150 DIAS
2º ADITIVO
150 DIAS
3º ADITIVO
09/05/2017</t>
  </si>
  <si>
    <t>1 º ADITIVO
150 DIAS
2º ADITIVO
17/04/17 (150 DIAS) 3º ADITIVO
18/09/2017 (150 DIAS)</t>
  </si>
  <si>
    <t>1º ADITIVO (10/11/16)
2º ADITIVO (90 DIAS) 10/02/17 3º ADITIVO (90 DIAS) 12/05/17</t>
  </si>
  <si>
    <t>1º ADITIVO 12 MESES -
2º ADITIVO    5 MESES</t>
  </si>
  <si>
    <t>340.906.67</t>
  </si>
  <si>
    <t>INSTITUTO DE PREVIDÊNCIA DOS SERVIDORES PÚBLICOS (PLANO FINANCEIRO)</t>
  </si>
  <si>
    <t>Instituto de Previdência Social do Município de Quipapá</t>
  </si>
  <si>
    <t>Fundo Municipal Prezeis do Recife</t>
  </si>
  <si>
    <t>Consórcio Intermunicipal Portal da Mata Sul</t>
  </si>
  <si>
    <t>Secretaria de Educação do Recife</t>
  </si>
  <si>
    <t>Secretaria de Turismo, Esportes e Lazer do Recife</t>
  </si>
  <si>
    <t>Identificada paralisada em 2017 e não declarada no Mapa de 2017</t>
  </si>
  <si>
    <t>Pavimentação e revitalização da Praça Jose Tavares</t>
  </si>
  <si>
    <t>Construção do sistema de denagem de aguas servidas no Povoado de Santa Rita</t>
  </si>
  <si>
    <t>Construção de pavimentação em paralelepipedos graniticos no beco da Travessa da Rua José Couto de Oliveira, Travessa da Rua Professora Maria Helena de Freitas</t>
  </si>
  <si>
    <t>Construção da Calçada do Patio de Alimentação</t>
  </si>
  <si>
    <t>Construção de pavimentação em paralelepipedos granitico no estacionamento da almoxerifado localizado na Praça Senador Aderbal Jurema</t>
  </si>
  <si>
    <t>Construção do Patio de Eventos localizado no sitio do Meio</t>
  </si>
  <si>
    <t>Abastecimento Dágua do S. Boa vista ao Sitio Marrecas e Sitio Mocos</t>
  </si>
  <si>
    <t>Pavimentação em Paralelepipedos graniticos no Povoado Santa Rita</t>
  </si>
  <si>
    <t>Conclusão da Ampliação dos PSFs Maria Rita da Silva, localizado no Sitio Melacias e Maria Alves Feitosa localizada no Povoado Riacho Dantas</t>
  </si>
  <si>
    <t>Ampliação do edificil sede do PSF de Santa Rita</t>
  </si>
  <si>
    <t>Construção de um Patio na Unidade Mista de Saude Nossa Senhora de Lourdes</t>
  </si>
  <si>
    <t>Reforma e ampliação do Almoxarifado localizado na Praça Senador Aderbal Jurema</t>
  </si>
  <si>
    <t>Construção de pavimentação em paralelepipedos graniticos na rua do Campo complemento da rua Radialista Pajeu</t>
  </si>
  <si>
    <t>Pavimentação e revitalização da Praça  Nossa Senho de Lourdes</t>
  </si>
  <si>
    <t>Construção de pavimentação e revestimento asfalticos nas principais av.</t>
  </si>
  <si>
    <t>Recapiamento Asfaltico.</t>
  </si>
  <si>
    <t>Construção de 02 (dois) Edificios em alvenaria para instalação de Unidade Basica de Saude, Projeto Padronizado Padrão 1 Ministerio da Saude</t>
  </si>
  <si>
    <t>Construção de uma quadra coberta com vestiario na Escola Profª. Maria Celia Barros Melo</t>
  </si>
  <si>
    <t>Revitalização e alborização das Praças da Avenida Candido Alexandre da Silva, Rua Dantas Barretos, Rua Bernardino Alves e a Praça ao lado da casa de Galindo</t>
  </si>
  <si>
    <t>SERVI€OS DE URBANIZA€ÇO DA QUADRA POLIESPORTIVA DA ESCOLA BOM CONSELHO, DO FNDE, N/CIDADE.</t>
  </si>
  <si>
    <t>SERVS. DE REQUALIFICA€ÇO DO PµTIO DE EVENTOS NA SEDE D/MUNICÖPIO.</t>
  </si>
  <si>
    <t>CONSTRU€ÇO DO BLOCO "B" DO HOSPITAL DR. JOS CARLOS DE SANTANA, N/CIDADE.</t>
  </si>
  <si>
    <t xml:space="preserve">CONSTRU€ÇO DE CRECHES TIPO B- PADRÇO FNDE, NA SEDE E NO DISTR. SÇO DOMINGOS, N/MUNICÖPIO. I= 1.847.921,59         II= 1.684.754,35       III= 1.722.936,82   </t>
  </si>
  <si>
    <t>607/2018</t>
  </si>
  <si>
    <t>60122/18</t>
  </si>
  <si>
    <t>Paralisada. Problemas gerenciais no convênio e abandono da empresa.</t>
  </si>
  <si>
    <t>Obra concluída, aguardando vistoria final da CAIXA para liberação do valor remanescente.</t>
  </si>
  <si>
    <t>Não comprovação de pagamento final.</t>
  </si>
  <si>
    <t>Obra paralisada desde 16/09/2016, contrato em processo de distrato e tomando providências para realizar nova licitação para conclusão da obra.</t>
  </si>
  <si>
    <t>Obra paralisada desde 28/11/2016, contrato em processo de distrato e tomando providências para realizar nova licitação para conclusão da obra.</t>
  </si>
  <si>
    <t>Obra paralisada desde 06/02/2018, por atrasos de pagamento, em tratativas com a CAIXA e com a contratada para dar continuidade aos seviços ou reprogramação e realização de licitação de remanescente de obra.</t>
  </si>
  <si>
    <t>Obra da UBS Juá (lote I) em rítimo lento, a administração notificou a empresa, em 28/08/2018, para aumentar rítimo de execução. Obra da UBS Santa Terezinha paralisada por órdem da administração que identificou falhas graves na execução e ausência de projeto estrutural já providenciado. Empresa já foi notificada para reinício sem sucesso.</t>
  </si>
  <si>
    <t>Obra paralisada, desde setembro/2014, por atraso de repasse de recursos do convênio e abandono da empresa. Administração solicitou encerramento do convênio com diminuição de metas, uma vez que o realizado tem funcionalidade.</t>
  </si>
  <si>
    <t>Obras paralisadas, desde 22/06/2012 e 19/02/2014, por problemas gerenciais e abandono da empresa. Administração fará ajustes para encerramento do convênio com diminuição de meta, pois há funcionalidade.</t>
  </si>
  <si>
    <t>Funcionalidade não comprovada.</t>
  </si>
  <si>
    <t>Obra paralisada desde 04/03/2015. A administração está avaliando reajuste para reinício ou diminuição de meta junto à CAIXA.</t>
  </si>
  <si>
    <t>Obra paralisada desde outubro/2013. Administração solicitou encerramento do convênio com redução de metas.</t>
  </si>
  <si>
    <t>Obra paralisada desde 09/12/2014 (lota I), 08/04/2015 (lote III) e 23/10/2015 (lote II). Jurídico formalizando distrato e administração em busca de novos recursos para conclusão da obra através de nova licitação..</t>
  </si>
  <si>
    <t>Concluída, aguardando recebimento definitivo da CAIXA após ajustes necessários pela empresa.</t>
  </si>
  <si>
    <t>Conclusão não comprovada.</t>
  </si>
  <si>
    <t>Obra paralisada desde 22/06/2012 e convênio cancelado pela CAIXA.</t>
  </si>
  <si>
    <t>Saldo de contrato não justificado.</t>
  </si>
  <si>
    <t>Obra concluída desde 02/05/2017 e em funcionamento.</t>
  </si>
  <si>
    <t>Obra concluída desde 29/12/2016 e em funcionamento.</t>
  </si>
  <si>
    <t>Obra distratada por problemas gerenciais do convênio, problemas construtivos e de projetos. Administração busca alternativas para captar recursos para a conclusão da obra.</t>
  </si>
  <si>
    <t>Concluída e aguardando vistoria final da CAIXA para liberação de recursos após ajustes pela contratada.</t>
  </si>
  <si>
    <t>Obra paralisada, aguardando reprogramação pela CAIXA para liberação de recursos e conclusão dos serviços.</t>
  </si>
  <si>
    <t>Obra paralisada por falta de repasse do órgão financiador.</t>
  </si>
  <si>
    <t>763/2018</t>
  </si>
  <si>
    <t>57258/18</t>
  </si>
  <si>
    <t xml:space="preserve">A obra encontra-se paralisada, porém com previsão de reinício no recesso da Assembleia Legislativa. </t>
  </si>
  <si>
    <t xml:space="preserve">A paralisação da obra ocorreu em virtude da necessidade de execução de alguns serviços complementares que somente poderão ser executados no momento derecesso da Assembleia Legislativa, uma vez que podem atrapalhar a sua rotina. </t>
  </si>
  <si>
    <t xml:space="preserve">A obra encontra-se paralisada, em decorrência do distrato. </t>
  </si>
  <si>
    <t xml:space="preserve">O objeto contratado foi executado parcialmente, tendo sido efetuado o pagamento no valor correspondente R$ 87.450,00 conforme NE 000273/2014. Contudo informamos que houve o distrato em decorrência da preclusão dos prazos de instalação deos equipamentos. </t>
  </si>
  <si>
    <t>197/2018-GGC/NEG</t>
  </si>
  <si>
    <t>046/2018</t>
  </si>
  <si>
    <t>9181/18</t>
  </si>
  <si>
    <t xml:space="preserve">O valor encontrado no TOME CONTA, dia 23/11/2018,  não é o suficiente para dar a obra como concluída.  Inacabada. </t>
  </si>
  <si>
    <t xml:space="preserve">Como o próprio ofício declara, obra inacabada. </t>
  </si>
  <si>
    <t xml:space="preserve">Inacabada. O contrato com a empresa D&amp;L foi distratado e publicado no DOE em 10/09/2015. A CAMIL realizou mais 03 processos lciitatórios, porém foram fracassados. Obs: atualmente, foi designada comissão interna para realizar o levantamento do remanescente da obra e atualizar o projeto. Está aguardando definição do núcleo de gestão da Operação Mata Sul do Governo do Estado para autorizar nova licitação. </t>
  </si>
  <si>
    <t xml:space="preserve">Concluída. </t>
  </si>
  <si>
    <t>Inacabada. A obra não foi finalizada em virtude da inexistência de recursos do Estado para a conclusão. A solução dada à epoca foi utilizar outra fonte de recursos, porém quando foi aprovada epla Câmra de Programação Financeira do Estado utilizar a fonte 123 ( Fundo Especial de Combate as Situações de Emergências e Calamidades Públicas FECSEC) o contrato com a empresa já estava vencido. Atualmente, foi designada comissão interna para realizar o levantamento do remanescente da obra, atualizar o projeto e solicitar o orçamento do Governo do Estado para finalizar a obra.</t>
  </si>
  <si>
    <t xml:space="preserve">Inacabada. O contrato sofreu rescisão unilateral publicado no DOe em 20/08/2016. Foi aplicada  penalidade de multa de 10% no valor do serviço publicada no DOE em 23/08/2016. Obs: Atualmente, foi designada comissão interna para realizar o levantamento do remanescente da obra e atualizar o projeto. Está aguardando definição do núcleo de gestão da Operação Mata Sul do Governo do Estado para autorizar nova licitação. </t>
  </si>
  <si>
    <t xml:space="preserve">Inacabada. Empresa abandonou a obra faltando corrigir um trecho de pavimento e executar as descidas de água. Foi aplicada a penalidade publicada no DOE do dia 23/05/2018. Obs: Atualmente, foi designada comissão interna para realizar o leantamento do remanescente da oba e atualizar o projeto. Está aguardando definição do núcleo de gestão da Operação Mata Sul do Governo do Estado para autorizar nova licitação. </t>
  </si>
  <si>
    <t>456/2018</t>
  </si>
  <si>
    <t>DPR 177/2018</t>
  </si>
  <si>
    <t>51778/18</t>
  </si>
  <si>
    <t xml:space="preserve">O orgão enviou cópia do contrato de prestação de serviços com a empresa Manoel Miguel dos Anjos Neto Serviços - ME, com um valor final de R$26.590,00, bem como cópia da publicação no D.O.E do extrato de contrato e do termo de adjudicação e homologação. Porém, não há no ofício nenhuma comprovação de pagamento, bem como no TOME  CONTA. </t>
  </si>
  <si>
    <t xml:space="preserve">O processo licitatório foi adjudicado e homologado em 04/06/2018, sendo publicado no D.O.E em 05/06/2018 e os serviços contratados foram iniciados em 29/06/2018, conforme documentos anexos. </t>
  </si>
  <si>
    <t>457/2018</t>
  </si>
  <si>
    <t>423/2018 - GAB/DP/CEHAB</t>
  </si>
  <si>
    <t>57.605/18</t>
  </si>
  <si>
    <t>Obra paralisada como reafirmado na justificativa recebida.</t>
  </si>
  <si>
    <t>Obra paralisada aguardando tratativa entre a CEHAB e ferreira Guedes referente a retomada da obra.</t>
  </si>
  <si>
    <t>Obra em andamento aguardando relocação do emissário da compesa para retorno da obra</t>
  </si>
  <si>
    <t>591/2018</t>
  </si>
  <si>
    <t>740/2017</t>
  </si>
  <si>
    <t>57957/18</t>
  </si>
  <si>
    <t>Não foram encontrados pagamentos referente à obra no Tome Conta.</t>
  </si>
  <si>
    <t>A obra paralisou no início de 2015 devido a interrupção de repasse de recursos pelo Governo Federal, sendo a retomada dos repasses e condição necessária pela retomada da execução. Foi solicitada liberação de recursos ao MI</t>
  </si>
  <si>
    <t>A empresa foi encontrada no Tome Conta, porém não há registro de qualquer obra no nome da referida empresa, sendo impossível verificar se houve pagamento.</t>
  </si>
  <si>
    <t>Não foi possível verificar a informação fornecida, visto que o órgão não mandou nenhuma informação sobre a nova empresa contratada.</t>
  </si>
  <si>
    <t>Segundo informações do próprio órgão, a obra se encontra paralisada.</t>
  </si>
  <si>
    <t>Recursos captados através do PSH, com recursos do BIRD, devido a limitação de recursos próprios e necessidade de contratação via licitação, a Compesa realizou as trataivas com a BRK para suspensão dos seus serviços de hidrometração, pelo período em que a execução dos serviços fossem contratadas via recurso do BIRD. Considerando que a prestação de serviços de hidrometração via recurso BIRD iniciou-se em 2016 com previsão de conclusão para dezembro de 2018, os serviços de hidrometração via PPP não estão sendo realizados neste período e por este motivo o CT. PS. 13.1.059. H03/04 encontra-se paralisado.</t>
  </si>
  <si>
    <t>Não foi encontrada menção à obra no Tome Conta, sendo impossível saber se a obra foi concluída ou não, visto que dados não foram fornecidos para qualquer verificação</t>
  </si>
  <si>
    <t>Obra concluída em 2018</t>
  </si>
  <si>
    <t>Obra concluída em 2017</t>
  </si>
  <si>
    <t>Obra paralisada segundo informado pelo próprio órgão</t>
  </si>
  <si>
    <t>Atraso no repasse do órgão financiador (Caixa). Obra paralisada a ser relicitada. Processo encontra-se na CPL para publicação do edital</t>
  </si>
  <si>
    <t>O contrato não mais existe e, de acordo com o informado, não houve novo processo licitatório. Consideraremos a obra como inacabada.</t>
  </si>
  <si>
    <t>Houve um aditamento no prazo para mudança de fonte de recursos e esse aditamento foi concluido em 15/15/2015, tendo sido emitido termo de encerramento do contrato. Tratava-se do contrato de manutenção de redes e ramais denominado obra porque foi financiado pelo BIRD.</t>
  </si>
  <si>
    <t>Não há obras no nome da empresa segundo o Tome Conta, sendo impossível verificar se esta obra foi concluída ou não.</t>
  </si>
  <si>
    <t>Obra concluída em 2016.</t>
  </si>
  <si>
    <t>Execução da obra foi retomada por meio do CT. OS. 17.6.477. Programada para concluir em 2019.</t>
  </si>
  <si>
    <t>Obra em execução, conclusão programada para 2019.</t>
  </si>
  <si>
    <t>Não foi encontrada menção à obra no Tome Conta, sendo impossível saber o atual status da obra.</t>
  </si>
  <si>
    <t>O pagamento total encontrado no Tome Conta é menor que a metade do valor total da obra. Por esse motivo, apesar da alegação do órgão, consideraremos a obra como paralisada.</t>
  </si>
  <si>
    <t>Obra concluída em 2015</t>
  </si>
  <si>
    <t>Não foi encontrada menção à obra no Tome Conta, e como o contrato foi distratado sem menção a um novo processo licitatório, consideraremos a obra paralisada.</t>
  </si>
  <si>
    <t>Contrato distratado amigavelmente em 2015 porque os mananciais que abastecem a cidade de Jataúba se encontravam em colapso até o primeiro trimestre de 2018.</t>
  </si>
  <si>
    <t>Obra em execução, conclusão próxima.</t>
  </si>
  <si>
    <t>Não entendemos a justificativa do órgão, visto que uma implantação de ramais prediais é, sem dúvida, uma obra. Além disso, não foi possível encontrar menção a essa obra no Tome Conta, de maneira que não foi possível também verificar o pagamento.</t>
  </si>
  <si>
    <t>Não é uma obra, é um contrato de serviço contínuo e teve sua execução finalizada em 2017.</t>
  </si>
  <si>
    <t>Como o contrato inicial foi distratado e, segundo admissão do próprio órgão, a nova licitação está prevista apenas para 2019, a obra se encontra no presente momento, paralisada.</t>
  </si>
  <si>
    <t>Contrato distratado pois o projeto estava inadequado com os levantamentos de campo realizados para conclusão da obra, o que resultaria em uma alteração de cerca de 75% a mais do valor inicial do contrato, ultrapassando o limite de 25%. Informamos ainda que a obra tinha três setores de abastecimento (01,02 e 03), onde o setor  03 foi realizado pela obra de implantação de rede de distribuição de Cajueiro Seco - setor 03 pela CEHAB e que os setores 01 e 02 foram realizadas adequações na planilha de quantitaivos restantes para esta área e está prevista no orçamento de 2019 para licitação e execução das obras de redes de distribuição destes setores.</t>
  </si>
  <si>
    <t>Obra concluída em 2014.</t>
  </si>
  <si>
    <t>Não foi possível fazer a verificação do pagamento, visto que o órgão não mandou comprovantes.</t>
  </si>
  <si>
    <t>O contrato com a TECNOPOÇOS que seria financiado com recursos da Caixa Econômica/OGU permaneceu suspenso durante dois anos e teve que ser encerrado em agosto/17 sem que os recursos Caixa fossem liberados. A contratada executou a perfuração do poço e assentamento da adutora. Os quantitativos executados foram pagos com recursos próprios da Compesa. Os serviços restantes necessários para que o poço pudesse entrar em operação (instalação eletromecânica e energização) foram concluídas posteriormente com mão de obra, equipamentos e materiais da Compesa</t>
  </si>
  <si>
    <t>Não foi encontrada menção à obra no Tome Conta, sendo impossível saber se a obra está em andamento ou não, visto que dados não foram fornecidos para qualquer verificação</t>
  </si>
  <si>
    <t>Obra concluída em dezembro de 2015</t>
  </si>
  <si>
    <t>Obra concluída em dezembro de 2016. O atraso se deu porque no começo a obra não constava na relação de investimento de 2016</t>
  </si>
  <si>
    <t>Obra concluída em dezembro de 2017</t>
  </si>
  <si>
    <t>458/2018</t>
  </si>
  <si>
    <t>050/2018 - DEM/DP/CTM</t>
  </si>
  <si>
    <t>53686/18</t>
  </si>
  <si>
    <t>Em relação à referida obra, não consta nada no TOME CONTA, nem pagamentos nem descrição. O orgão informou que a obra foi concluída em 17 de novembro de 2015, mas não apresentou comprovantes de pagamento ou relatórios de conclusão. Então, permanece como obra paralisada.</t>
  </si>
  <si>
    <t xml:space="preserve">O contrato não for paralisado, teve dois Termos Aiditivos de Prazo de 90 e 180 dias para a realização de serviço no pavimento da pista de saída do Terminal Integrado de Rio Doce. A obra foi concluída em 17 de novmebro de 2015. Com relação ao pagamento contratado, o mesmo foi realizado pelos sistemas financeiro Maximus e E-Fisco, utilizado pelo estado. Foi liquidado nos dois sistemas o valor total de R$ 42741,41, não havendo pagamento irrisório. </t>
  </si>
  <si>
    <t xml:space="preserve">O orgão não enviou comprovantes de que o vlaor pago foi realmente dos serviços estritamente necessários, assim a obra continua paralisada. </t>
  </si>
  <si>
    <t>592/2018</t>
  </si>
  <si>
    <t>055/2018</t>
  </si>
  <si>
    <t>53920/2018</t>
  </si>
  <si>
    <t xml:space="preserve">Obra paralisada,conforme anexo enviado pela empresa à prefeitura.                                                                                                                                                                                                                                      </t>
  </si>
  <si>
    <t>Foram pagos à empresa vencedora duas parcelas, com a terceira ainda sem liberação da Ordem Bancária pela SEFAZ/PE. A empresa emitiu um ofício (anexado), reduzindo as atividades da obra devido ao atraso no pagamento, embora o documento anexado diga que as obras foram paralisadas.</t>
  </si>
  <si>
    <t>539/2018</t>
  </si>
  <si>
    <t>463/2018</t>
  </si>
  <si>
    <t>68/2018</t>
  </si>
  <si>
    <t>59105/18</t>
  </si>
  <si>
    <t>Obra paralisada, aguardando contemporização dos projetos de cada obra.</t>
  </si>
  <si>
    <t>FÓRUM DA COMARCA DE PAULISTA
1. Que esta obra foi executada pela empresa contratada construtora pottencial, por meio do contrato 004/2014 - TJPE;
2.Que a empresa contratada enfrentou dificuldades operacionais diversas que se traduziram em atrasos na execução da obra;
3.Que a empresa contratada entrou em processo de recuperação judicial durante a execução contratual;
4.Que tais atrasos na construção do fórum de Paulista gerou processo de descumprimento contratual, CJ 201/2015, RP nº 12385/15, iniciado em 03/02/15, que culminou com a rescisão contratualpublicada em 11/09/2015;
5.Que o total pago pelo TJPE referente à execução física deste contrato importou em 8,79%</t>
  </si>
  <si>
    <t>465/2018</t>
  </si>
  <si>
    <t>598/2018</t>
  </si>
  <si>
    <t>53340/18</t>
  </si>
  <si>
    <t>Paralisada desde maio de 2014 por falta de recursos.</t>
  </si>
  <si>
    <t>A construtora não aparece na pesquisa do Tome Conta, sendo impossível verificar se o pagamento foi realmente realizado, visto que o Instituto não mandou documentos em anexo comprovando o pagamento.</t>
  </si>
  <si>
    <t>Concluída em junho de 2017</t>
  </si>
  <si>
    <t>Não foi possível encontrar a verificação do pagamento no Tome Conta, apesar da empresa referente estar cadastrada no sistema. O pagamento encontrado tem valor muito menor do que o estipulado no contrato.</t>
  </si>
  <si>
    <t>Concluída em dezembro de 2016</t>
  </si>
  <si>
    <t>467/2018</t>
  </si>
  <si>
    <t>230/2018-DPRES</t>
  </si>
  <si>
    <t>52280/18</t>
  </si>
  <si>
    <t xml:space="preserve">O orgão não aparece quando pesquisa-se no TOME CONTA, assim não consegue-se verificar nenhum pagamento do orgão à contratada, para comprovar que a obra está em andamento. </t>
  </si>
  <si>
    <t>Contrato celebrado em 06/08/2018, encontra-se em vigência, com término previsto para 08/02/2019, atualmente os serviços de manutenção e requalificação do Sistema de Climatização em andamento. Com referência ao exercício de janeiro a dezembro de 2017, que está sendo caracterizado como pagamento irrisório, informamos que neste período só foram executados os serviços pertinentes a Manutenção Preventiva, justificando assim o valor do faturamento baixo em relação ao valor global do contrato.</t>
  </si>
  <si>
    <t>52280/19</t>
  </si>
  <si>
    <t xml:space="preserve">O orgão não aparece quando pesquisa-se no TOME CONTA, assim não consegue-se verificar nenhum pagamento do orgão à contratada, para comprovar que a obra está realmente concluída. </t>
  </si>
  <si>
    <t xml:space="preserve">Contrato celebrado em 17/07/2017, contrato encerrado devido a term sido concluídos em 17/08/2018. Com referência ao exercício de janeiro a dezembro de 2017, que está sendo caracterizado como obra paralisada, inacabada, sem pagamento e/ou com pagamento irrisório, informamos que os serviços contratados tiveram início em 17/07/2017 e devido a necessidade de adequação de projetos. tivemos que suspender a execução dos serviços por um período de 60 (sessenta) dias contados a partir de 13/11/2017 só retomando a obra em 13/01/2018, justificando assim a suspensão temporária da obra. </t>
  </si>
  <si>
    <t>1581/2018</t>
  </si>
  <si>
    <t>56800/18</t>
  </si>
  <si>
    <t xml:space="preserve">Mesmo que o contrato esteja rescindido, a obra não foi concluída, então continua paralisada. </t>
  </si>
  <si>
    <t xml:space="preserve">Em 06 de fevereiro de 2015, a UNIPAE encaminhou à DIAG, através da C.I. UNIPAE/DIAG/PCEPE nº 050/2015, Projeto básico visando a conclusão da reforma da respectiva Delegacia de Polícia, mas que até a presente data não temos conhecimento da liberação do recurso necessário. Vale salientar que em 12 de novembro de 2014 fora publicado no Diário Oficial do Estado de Pernambuco o Termo de Recisão Amigável do citado contrato. </t>
  </si>
  <si>
    <t>O orgão enviou comprovantes anexados do recebimento definitivo da obra, porém os valores pagos no TOME CONTA para este exercício não condizem com aqueles declarados na planilha, então a obra continua paralisada.</t>
  </si>
  <si>
    <t>Conforme cópias do Mapa Demonstrativo de Obras e Serviços de Engenharia e o Termo de Recebimento Definitivo referente ao contrato, ainda no ano de 2015 foram atestados como conclusos os serviços de reforma no imóvel sede da DP 89ª CIRC.</t>
  </si>
  <si>
    <t>Houve o abandono da obra por parte da construtora e novo Projeto Básico foi elaborado, porém não se deu continuidade à obra pela não liberação do recurso necessário. Obra Paralisada.</t>
  </si>
  <si>
    <t xml:space="preserve">Em 14 de janeiro de 2014, encaminhamos à DIAG uma comunicação interna, a qual relatou o abandono de obra por parte da empresa LOC CONSTRUÇÕES LTDA. Em 18 de agosto de 2014 a UNIPAE encaminhou a IDAG o Projeto básico do complemente da execução na rampa de acesso para a DECASP, mas até a presente data não temos ocnhecimento da liberação do recurso necessário. </t>
  </si>
  <si>
    <t>207/18</t>
  </si>
  <si>
    <t>51837/18</t>
  </si>
  <si>
    <t>Obra paralisada/inacabada como como dito na justificativa.</t>
  </si>
  <si>
    <t>Obra Inacabada em razão de ter havido descumprimento de cláusula contratual por parte da empresa.</t>
  </si>
  <si>
    <t>Obra Inacabada em razão do decurso do seu prazo de vigência sem demonstração de interesse em reatar o vínculo contratual por ambas as partes.</t>
  </si>
  <si>
    <t>Obra paralisada pela falta de pagamento ao contratado, e que devido ao período de tempo de paralisação, o vínculo contratual foi desfeito.</t>
  </si>
  <si>
    <t>470/2018</t>
  </si>
  <si>
    <t>PGE/SG nº 049/18</t>
  </si>
  <si>
    <t>52547/18</t>
  </si>
  <si>
    <t xml:space="preserve">Declarou-se no ofício de resposta que foi liquidado o valor de R$ 369.933,28, porém no TOME CONTA não aparece nada referente a isto. </t>
  </si>
  <si>
    <t>Conforme informado a esse Tribunal em 2017, ante a crise financeira, não foi possível a conclusão das obras nos prazos inicialmente previstos, sendo necessária a celebração termos aditivos de prorrogação de vigência e execução dos contratos para se adequar à disponibilidade orçamentária desta Procuradoria. Todavia, a partir de 2017 os trabalhos foram retomados mais fortemente no Edifício Anexo à sede da PGE, tendo sido concluídos, até a presente data, os serviços de obras civis, as instalações elétricas de baixa tensão, o Sistema de Climatização, o Sistema de Detecção e Combate a incêndio e o Sistema de Cabemento Estruturado, além da instalação de divisórias e mobiliário para atender os 03 pavimentos do Edifício Anexo.</t>
  </si>
  <si>
    <t xml:space="preserve">Declarou-se no ofício de resposta que foi liquidado o valor de R$ 1.105.424,38, porém foi identificado no TOME CONTA um valor de apenas R$ 104.652,01. </t>
  </si>
  <si>
    <t xml:space="preserve">Declarou-se no ofício de resposta que foi liquidado o valor de R$ 88.377,25, porém no TOME CONTA não aparece nada referente a isto. </t>
  </si>
  <si>
    <t>471/2018</t>
  </si>
  <si>
    <t>227/2018 -DG</t>
  </si>
  <si>
    <t>51728/18</t>
  </si>
  <si>
    <t>No referido ofício de resposta, ele mostra que 82,4% dessa obra já foi paga, mas quando se confere com o TOME CONTA, o pagamento realizado em 2017 para essa obra foi de R$ 292.335,41, um valor irrisório em comparação aos R$ 17.184.112,17 do contrato.</t>
  </si>
  <si>
    <t>51728/19</t>
  </si>
  <si>
    <t>No referido ofício de resposta, ele mostra que 73,9% dessa obra já foi paga, mas quando se confere com o TOME CONTA, o pagamento realizado em 2017 para essa obra foi de R$ 1.848.023,4, um valor irrisório em comparação aos R$ 15.815,056,24 do contrato.</t>
  </si>
  <si>
    <t xml:space="preserve">Ainda no exercício de 2017, o bjeto da maioria dos dos Contratos foram repactuados pelo ProRural/SARA junto a SESAN/MDS em acordo institucional para alteração do objeto previsto na Cláusula Segundo dos Contratos com o acréscimo de 25% (vinte e cinco por cento) da meta total inicial revisada, em consequência da autorização por parte do Concendente da utilização da Aplicação Financeira do Recurso de Repasse dos Convênios; Sendo assim, Termos Aditivos de Prazo e Objeto aos Contratos foram celebrados em função da prorrogação do prazo de vigência e repactuação de metas do objeto previstos pelos referidos Conv. nº 019/2013 e Conv. nº 063/2012 ( também aditados previamente como condicionante), tendo em vista a necessidade de darmos continuidade à prestação do serviçodesses Contratos no exercício fiscal de 2018; Justificamos nossas solicitações dos Termos Aditivos de Prazo e Objeto dos Convênios junto à SESAN/MDS tendo em vista que as vigências desses contratos não seriam suficientes na linha de tempo do exercício fiscal de 2017, para a execução dos respectivos Contratos a serem repactuados conforme a nova meta física-financeira dos respectivos Contratos; No exercício 2018, as Entidades contratadas estão implementando seus Contratos conforme os dados especificados nos Quadros 1 e 2 anexados a essa Nota Técnica; As informações dos desempenhos físico-financeiro dos Contratos especificados nesses quadros mencionados estão devidamente cadastradas e atualizadas em âmbito do Sistema de Convênios (SICONV) do Governo Federal, como também do Sistema E-FISCO do Governo do Estado. </t>
  </si>
  <si>
    <t>51728/20</t>
  </si>
  <si>
    <t>No referido ofício de resposta, ele mostra que 85,6% dessa obra já foi paga, mas quando se confere com o TOME CONTA, o pagamento realizado em 2017 para essa obra foi de R$ 170.521,78, um valor irrisório em comparação aos R$ 12.173,888,46 do contrato.</t>
  </si>
  <si>
    <t>51728/22</t>
  </si>
  <si>
    <t>No referido ofício de resposta, ele mostra que 82,3% dessa obra já foi paga, e  quando se confere com o TOME CONTA, não houve pagamento para essa obra em 2017,. Assim, conclui=se que a obra encontra-se paralisada.</t>
  </si>
  <si>
    <t>51728/24</t>
  </si>
  <si>
    <t xml:space="preserve">No referido ofício de resposta, ele mostra que 76% dessa obra já foi paga, mas quando se confere com o TOME CONTA, o pagamento realizado em 2017 para essa obra foi de R$ 214.186,34 um valor irrisório em comparação aos R$ 7.597.826,25 do contrato aditado. </t>
  </si>
  <si>
    <t>TC/GC03-257/2018</t>
  </si>
  <si>
    <t>112/2018 - SAFI/SEFAZ</t>
  </si>
  <si>
    <t>52857/18</t>
  </si>
  <si>
    <t xml:space="preserve">O órgão não enviou comprovantes de pagamento e o valor pago declarado no ofício de resposta não equivale àquele pago quando se confere no TOME CONTA. </t>
  </si>
  <si>
    <t>1.1.1. Mudança de projeto do greide da pista da BR 101 no trecho do posto fiscal, o que acarretou a necessidade de realização de novo levantament topogra´fico e consequente adequação do projeto estrutural do posto;   1.1.2 Elaboração de proposta de mudança de layout, suprimindo o subsolo, para minimizar os custos futuros com manutenção.   Devido a tpdas as mudanças acima elencadas, tornou-se necessária a adequação dos projetos de estrutua e complementares. Com a finalização das adequação dos projetos em julho de 2017, forma realinhadas as estapas da obra com o objetivo principal de dar celeridade e recuperar os meses nos quais as medições ficaram abaixo do previsto, o qual foi logrado com êxito ao final do exercício de 2017.</t>
  </si>
  <si>
    <t>109/2018</t>
  </si>
  <si>
    <t>55108/18</t>
  </si>
  <si>
    <t xml:space="preserve">Houve um equívoco quando o orgão enviou o mapa de obras e essa obra, que deveria estar como INACABADA, estava como NÂO FINALIZADA. Porém como o próprio ofício diz, não há previsão de reinício então ela se caracteriza como paralisada/inacabada. </t>
  </si>
  <si>
    <t xml:space="preserve">Na ocasião doi preenchimento do Mapa de Obras de 2017, foi informado que a situação declarada destas obras é de NÃO FINALIZADA. Porém, vale salientar que os referidos postos das Agências do Trabalho de Escada e Igarassu encontram-se me pleno funcionamento de atendimento ao púbico. Desse modo, a situação das referidas obras deverá ser descrita como INACABADA, haja vista tratar-se de serviços não concluídos, sem previsão de reinício, em que já houveram os referidos Distratos e o Contrato já foi encerrado conforme orientação em legenda do próprio Mapa de Obras. </t>
  </si>
  <si>
    <t>SECMULHER 483/2018/GS</t>
  </si>
  <si>
    <t>54091/18</t>
  </si>
  <si>
    <t xml:space="preserve">Por conta de disparidades na edificação, a SecMulher cancelou algumas obras e por atraso no cronograma físico-financeiro, deixou outras inacabadas. Apesar de ter devolvido o recurso não utilizado, ainda sobram obras inacabadas. </t>
  </si>
  <si>
    <t xml:space="preserve">Nos municípios de Catende, Joaquim Nabuco e São Vicente de Férrer, a execução foi cancelada de imediato, após emissão da OS a equipe de engenharia verificou in loco disparidades na edificação. Nos municípios de Belo Jardim, Cortês, Bom Conselho, Tamandaré e Bezerros a execuçãoem todos municípios foram cancelados por atraso no cronograma físico financeiro, descumprimento do prazo e término de vigência do Convênio. Com o término do convênio (02/01/2015) a SecMulher devolveu à União, os recursos não utilizados, no valor de R$ 571.522,51, inclusive os rendimentos. </t>
  </si>
  <si>
    <t>075/2018 - GEAJU/GAB</t>
  </si>
  <si>
    <t>54243/18</t>
  </si>
  <si>
    <t>Em detrimento ao 2º Termo Aditivo firmado no Acordo de Cooperação Técnica nº 456/2013 (anexo), a responsabilidade pela execução dos serviços passou a ser do Departamento de Estadual de Rodagens - DER/PE</t>
  </si>
  <si>
    <t>Obra paralisada/inacabada como dito no ofício de resposta.</t>
  </si>
  <si>
    <t>Elaborado o 15º e 16º Relatório de Revisão em fase de Obra - RRFO</t>
  </si>
  <si>
    <t>Contrato rescindido em 04/09/2015</t>
  </si>
  <si>
    <t>Obra paralisada com 97,50% dos serviços executados. Contrato encerrado por decurso de prazo. O consórcio contratado ajuizou ações judiciais cujos acompanhamentos são realizados pela Procuradoria Geral do Estado de Pernambuco.</t>
  </si>
  <si>
    <t>Criando comissão interna para elaboração de relatório de encontro de contas do contrato. Comissão ainda em andamento.</t>
  </si>
  <si>
    <t>Obra ainda não iniciada por isso continua como paralisada na planilha</t>
  </si>
  <si>
    <t>Empreendimento não iniciado por falta de recursos financeiros. Não foi emitida a Ordem de Serviço</t>
  </si>
  <si>
    <t>Instaurada comissão interna para análise do produto entregue pelo Consórcio</t>
  </si>
  <si>
    <t>437/2018 - GS</t>
  </si>
  <si>
    <t>54214/18</t>
  </si>
  <si>
    <t xml:space="preserve">O orgão não enviou justificativa sobre esse item. </t>
  </si>
  <si>
    <t xml:space="preserve">O orgão diz que foi concluída, porém não há qualquer comprovante. Classificada como paralisada 
</t>
  </si>
  <si>
    <t xml:space="preserve">
</t>
  </si>
  <si>
    <t>26/2018 - GS</t>
  </si>
  <si>
    <t>54093/18</t>
  </si>
  <si>
    <t xml:space="preserve">Como o orgão não apresentou o comprovante do retorno do recurso ao FNDE, a obra encontra-se ainda paralisada, mesmo com o contrato vencido. </t>
  </si>
  <si>
    <t xml:space="preserve">As obras foram iniciadas e no decorrer da execução observou-se que os projetos apresentavam inconsistências e necessitavam de ajustes. O contrato encontra-se vencido e os recursos  serão devolvidos ao FNDE na prestação de contas do Convênio. </t>
  </si>
  <si>
    <t>Como o orgão não apresentou o comprovante do distrato com a empresa, a obra continua como paralisada.</t>
  </si>
  <si>
    <t xml:space="preserve">Contrato foi distratado com a construtora em 27/10/2016 por falta de capacidade técnica. A reforma foi concluída e os recursos referentes à ampliação serão devolvidos ao FNDE na prestação de contas do Convênio. </t>
  </si>
  <si>
    <t xml:space="preserve">como o orgão não apresentou nenhum comprovante de novo processo licitatório, a obra continua como paralisada. </t>
  </si>
  <si>
    <t xml:space="preserve">A obra foi paralisada em virtude da necessidade de ajustes dos projetos executivos . Os novos projetos atendendo as especificidades da escola foram elaborados pela SEE e novo processo licitatório realizado em 20/06/2018. Estamos aguardando autorização do FNDE para homologação. </t>
  </si>
  <si>
    <t xml:space="preserve">Como o orgão não apresentou o comprovante do retorno do recurso ao FNDE, a obra encontra-se ainda paralisada. </t>
  </si>
  <si>
    <t xml:space="preserve">As obras de engenharia pactuadas no convênio não chegaram a ser licitadas em virtude de não atenderem as necessidades do Centro. Os recursos referentes a esta intervenção foram devolvidos ao FNDE. </t>
  </si>
  <si>
    <t>200/2018</t>
  </si>
  <si>
    <t>1124/2018-GAB/SDS</t>
  </si>
  <si>
    <t>58237/18</t>
  </si>
  <si>
    <t>as informações apresentadas não confirmam a conclusão da obra, pelo contrário, reforçam que a mesma não foi concluída, dadas as afirmações de modificação do projeto e falta de verba.</t>
  </si>
  <si>
    <t xml:space="preserve">Diante da realização do evento COPA DO MUNDO FIFA de futebol/2014, foi constatada a necessidade de implantar, no estado de pernambuco, o centro integrado de comando e controle regional - CICCR, registrando que tais custos adicionais, foram suportados  pela secretaria extraordinária de segurança para grandes eventos - SESGE do ministério da justiça, mediante celebração convênio, cabendo a esta pasta, se houvessem, os custos com locação de imóvel ou construção, energia, dados, telefonia, etc.
Ocorre que diante do contigenciamento de despesa no âmbito do poder executivo estadual e da necessidade de imprimir urgência na implantação do CICCR, e ainda, de exiguidade de prazo em face da proximidade da realização do evento, que teria início em junho/2014, o CICCR foi alocado no 2º andar do citado prédio, por ser mais vantajoso para o estado, entretanto, tal alocação impôs a alteração do projeto arquitetônico (Layout) ao que havia sido licitado anteriormente, inclusive, com redistribuição da área prevista para o centro integrado de operações de defesa social - CIODS nos demais setores de outros pavimentos, que consequantemente, também tiveram que ser remanejados.
Tais alterações implicaram na necessidade de readequação completa do projeto arquitetônico (Layout), sendo assim, é certo que o projeto inicialmente licitad, não foi mesmo executado, já que por interesse público, foi necessário proceder à readequação dos espaços desta secretaria.
Por decisão superior, e diante da situação que da edificação que abriga o centro integrado de inteligência de defesa social - CIIDS foi priorizado a conclusão do prédio anexo, onde estava previsto o então setor, que foi entregue com 100% (cem por cento) da execução. No entanto, o pavimento térreo, do 3º ao 9º pavimento do prédio sede (Torre), foi entregue com cerca de 40% (quarenta por cento) dos serviços executados (elevador, piso, banheiros e troca de todas as esquadrias).
Registro que diante de fortes chuvas na capital, houve alagamento do subsolo, e com isso a necessidade de substituição do projeto original de drenagem do subsolo do prédio anexo, por um novo projeto, que não foi realizado, tendo em vista que MAIA MELO ENGENHARIA já estava com seu contrato encerrado para execução dos projetos. 
É necessário ainda registrar que em relação ao serviço de elevadores, houve necessidade de realizar serviços de infraestrutura, adequando o poço do elevador à instalação de novos elevadores através de reforço com estrutura metálica, pois os furos anteriores não eram compatíveis com o novo elevador a ser instalado.  Os serviços estavam sendo realizados em horários específicos, pois o barulho na execução provocava transtornos à sala de reuniões da ATI. Diante do ocorrido, a instalação dos elevadores só foi concluída no dia 21/01/2014.
Optou-se por não realizar aditivos financeiros ao contrato, pois seria necessário um aditivo de aproximadamente 100% do valor de contrato para que a obra fosse finalizada. Deste modo, constata-se que situações supervenientes a execução da obra, culminadas com a indispónibilidade de recursos deram causa a não finalização do uso da edificão por essa secretaria.
HISTÓRICO E ESCLARECIMENTOS
Diante das dificuldades ocorridas durante a execução da obra, foi contratada a empresa SMC ENGENHARIA LTDA, visando a elaboração do projeto executivo de arquitetura, projetos complementares, planílhas orçamentárias e especificações técnicas, sendo apurada a necessidade de disponibilização de mais R$ 13.970.266,92 para a conclusão da obra.
No ano de 2015 em face da indisponibilidade de recursos e do plano de contigenciamento de gastos - PCG, a secretaria de administração do estado - SAD, de forma a reduzir as despesas de custeio, especialmente, na ficha financeira de alugueis, decidiu remanejar outros órgãos da administrção pública Estadual para o imavel, sendo inicialmente prevista a ocupação do térreo pela central de licitações do estado, o que não ocorreu posteriormente e do 6º ao 9º andar pela administração geral de fernando de noronha, o qual ocupou o imóvel desde janeiro/2016, imviabilizando totalmente a continuidade da obra de reforma,assim, constata-se que apesar da obra não ter sido concluída, o prédio foi parcialmente ocupado, uma vez que parte da estrutura foi atendida (elevador, piso, banheiros e troca de todas as esquadrias), o que viabilizou a ocupação dos espaçospor outros órgãos da administração pública estadual, os quais se responsabilizaram pelos custos necessáriosàs adequações dos espaços existentes as suas necessidades e ainda, pelas instalações elétricas e de lógica, imprescindíveis a execução dos serviços.
É de bom alvitre que se esclareça que diante da multiplicidade de setores e das particularidades dos serviços desenvolvidos por esta pasta estadual, não se fez possível empreender pequenas adequações com parcos investimentos, para abrigar o tipo de equipamentos (segurança e videomonitoramento) se fazia, por exemplo, presente a necessidade de utilização de tecnologia especial, com cabeamento técnicoespecífico e com investimentos significativos em infraestrutura para atender adequadamente as necessidades da secretaria de defesa social, que não foram possíveis de concluir em face da ausência de recursos.
PROVIDÊNCIAS ADOTADAS
Por decisão superior a SDS perdeu a cessão do imóvel para a administração central do distrito de fernando de noronha. Por este motivo foi retirado do mapa de obras 2016.
</t>
  </si>
  <si>
    <t>A resposta enviada confirma que a obra continua paralisada, porém informa que novos projetos estão sendo elaborados para licitar a conclusão dos remanescentes de obra.</t>
  </si>
  <si>
    <t>A empresa responsável pela execução da obra paralisou os serviços desde de setembro/2013, em face do atraso de pagamentos e erros nos projetos executivos elaborados pela MAIA MELO ENGENHARIA S/A, contratada pela secretaria de defesa social para tal finalidade, que apesar de instada, não os retificou. Assim, em decorrência da incorreção dos projetos, optou-se por aguardar a realização de relatório  visando o levantamento do remanescente de obra, proceder as correções técnicas necessárias nos projetos, para, somente após proceder a nova licitação para executar o remanescente de obra.
Atualmente a empresa Campos Arquitetos Associados (CNPJ 08.028.660/0001-92) contratada para realizar projeto de remanescente de obra, e encontra-se em fase de recebimento dos projetos, para posteriormente contratação de empresa para a execução das obras.</t>
  </si>
  <si>
    <t xml:space="preserve">conforme reafirmado nas informaçoes enviadas a obra está paralisada. </t>
  </si>
  <si>
    <t>A empresa vencedora do processo licitatório vinha executando os serviços, entretanto, foram necessárias várias readequações em relação ao projeto inicial, uma vez que apesar dos projetos terem sido elaborados com a anuência dos Gestores locais (Comandante do Batalhão e Delegado), posteriormente, em face da alteração de tais servidores, houve a necessidade de adequação dos projetos para atender às peculiaridades do 5º BPM, acarretando na retirada pa polícia civil do predio principal e sua realocação em prédio independente, onde eram os alojamentos do 5º BPM.
Houve atraso na alimentação létrica da subestação que estava em andamento, que competia a CELPE, que foi acionada pela secretaria executiva de gestão integrada - SEGI, por meio do ofício nº 1.241/2015 - SEGI/SDS e, após a compra do material solicitado pela mesma, no valor de R$ 1.300,00 houve a ativação da energia elétrica dos prédios anexados.
Durante a execução da obra, forasm necessários vários aditamentos.
Diante da não conclusçao da obra, com 66,98% concluído, foi determinado pelo SEGI/SDS a elaboração de licitação para contratação de empresa especializada para a execução dos serviços remanescentes.
A AIS Petrolina está em funcionamento de suas atividades, e foi realizada nova licitação CC nº 002/2017 - CPL II - SDS, no valor de R$1.489.697,99 aguardando dotação orçamentária para empenhamento e contrato.</t>
  </si>
  <si>
    <t>Obra paralisada, como informado no ofício de resposta.</t>
  </si>
  <si>
    <t xml:space="preserve">O cronograma da obra foi atrasado diversas vezes e a construtora notificada em um total de 08 vezes.
Em 07/01/2014, a obra foi embargada, em decorrência de que o ministério do trabalho e emprego - MTE detectou, na obra, a existência de situações de risco à integridade dos trabalhadores, e apenas em 07/02/2014, foi expedido o termo de suspensão do embargo, após a construtora ter cumprido todas as exigências do MTE.
Em 19/04/2014 a Construtora Milão enviou documento a esta secretaria informando sobre a desmobilização da obra por falta de pagamento, decorrente da indisponibilidade de recursos orçamentários e financeiros no Estado, não havendo nesta data, pendências de pagamento. Em seguida, a empresa milão solicitou a recisão contratual amigável, entregando o canteiro de obras para a SDS.
Providências adotadas
Em 10/09/2016 foi instituida a comissão de tomada de contas especiasl, e instauirado o processo de tomada de contas especial relativo à obra de construção do laboratório de genética forense, em conformidade com o que dispõe a Resolução TC nº 0009, de 27/07/2005, do tribunal de contas do estado de pernambuco.
Em seu relatório a comissão de tomada de contas especial concluiu que o dano ao erário apurado, devidamente atualizado, foi de R$ 107.497,41, sob a responsabilidade da empresa contratada para a construção do laboratório de genética forense, CONSTRUTORA MILÃO E EMPREENDIMENTOS LTDA- EPP, CNPJ nº 08.432.427/0001-70.
abertura de nova licitação - Assumir Remanescente de Obra
Diante da necessidade de terminar a obra que já se encontra com 52%, consta realizada nova licitação TP nº 001/2017 - CPL I  - SDS, no valor de R$ 1.100.494,17 aguardando dotação orçamentária para empenhamento e contrato. </t>
  </si>
  <si>
    <t>547/2018</t>
  </si>
  <si>
    <t>53.173/18</t>
  </si>
  <si>
    <t>Obra paralisada/inacabada, como dito no ofício de resposta, até um novo projeto ser feito.</t>
  </si>
  <si>
    <t>Diante do exposto e considerando que o projeto em questão durante todo esse processo de paralisação passou por novas análises e mudanças de gestão no comando da SDSCJ e FUNASE os novos gestores e diretores da FUNASE, resolveram reavaliar e analisar o escopo do projeto licitado, levando em consideração em suas análises além da estrutura física do projeto inicial o estudo de demanadas advinda da região em relação ao sistema socioeducativo desta feita observou-se que o projeto licitado e a obra que estava em execução só contemplavam um Centro de Atendimento (CASE) e a unidade hoje em funcionamento no município atende CASE (Centro de atendimento socioeducativo), CENIP (Centro de internação provisória) e CASEM (Centro de atendimento socioeducativo em semiliberdade), por estes motivos, que a nova gestão considerou a possibilidade de não mais seguir com o contrato de execução da obra e sim refazer um projeto dentro do escopo e das necessidades do sistema, APROVEITANDO TODA A ESTRUTURA JÁ EXECUTADA, desta forma não causando dano ao erário.</t>
  </si>
  <si>
    <t>No ofício recebido não foi comentado sobre o que se refere esta obra.</t>
  </si>
  <si>
    <t>O pagamento constante no Tome Conta para a nova contratada é irrisório para conclusão dos serviços até Dezembro 2018 como informado.</t>
  </si>
  <si>
    <t>Houve formalização do Distrato Contratual amigável, na época do distrato o estado atravessava o plano de contigenciamento e não estava sendo liberada a programação financeira para empenhamento da obra o que fez com que a empresa perdesse o interesse em sua continuidade. O distrato foi formalizado e no ano de 2017 foi liberado orçamento para continuidade dessa obra considerando a urgência no atendimento do pleito, foi aberto um novo processo licitatório e contratada a empresa KANENA CONSTRUÇÕES LTDA pelo valor de R$ 548.775,73, para que fosse dada continuidade aos serviços faltantes e novas demandas que surgiram por parte da diretoria da unidade, a obra encontra-se em execução através do contrato Nº010/2018 e hoje está com mais de 50% dos seus serviços executados, com prazo para conclusão em Dezembro de 2018.</t>
  </si>
  <si>
    <t>Obra paralisada/inacabada, como dito no ofício de resposta.</t>
  </si>
  <si>
    <t>A obra encontra-se paralisada aguardando liberação de dotação orçamentária. O referido contrato contempla 8 escolas a serem beneficiadas com o programa, sendo 03 no município de Arcoverde, 01 em Cupira, 01 en cachoeirinha e 03 em Tracunhaém tiveram seus serviços 100% executados, as demais estão com média de 88% dos serviços executados, com exceção da escola do município de Cupira que possui 67,19%, porém, cabe esclarecer que em nenhuma delas houve paralisação das atividades escolares e que em todas há condições de uso para os alunos. Ocorre que de 2015 até os dias atuais não houve liberação de dotação orçamentária para assunção das despesas com esse contrato, por esse motivo a mesma encontra-se paralisada aguardando o orçamento para conclusão.</t>
  </si>
  <si>
    <t>Obra paralisada/inacabada, como dito no ofício de resposta, esperando um replanilhamento para conclusão dos serviços.</t>
  </si>
  <si>
    <t>Quando do início dos serviços foram identificadas inconsistências no projeto aprovado, sendo necessárias algumas intervenções e ajustes, que estão sendo realizados neste momento através do replanilhamento. No momento aguardamos a resposta da GIDUR em relação ao replanilhamento encaminhado para que possamos dar continuidade a execução da obra, que hoje já encontra-se com mais de 65% de seus serviços executados.</t>
  </si>
  <si>
    <t>TC/GC02/0185/2018</t>
  </si>
  <si>
    <t>SEPLAG 717/2018</t>
  </si>
  <si>
    <t>56067/18</t>
  </si>
  <si>
    <t xml:space="preserve">O orgão não declarou que a porcentagem executada foi suficiente para a conclusão da obra, então continua como paralisada. </t>
  </si>
  <si>
    <t xml:space="preserve">A obra em questão se localiza numa ZEIS, e devido a sucessivos imprevistos durante o período tais como conflitos na comunidade, com históricos de invasões do território e das unidades habitacionais em construção, imprevistos operacionais no transporte de materiais e suprimentos de construção para a Ilha, greve dos trabalhadores da construção civil, foram necessários aditivos contratuais. A obra foi concluída em quase toda sua totalidade, com execução de 8,7,8%  do contrato. Em que pese a execução da quase totalidade da obra, em virtude dos sucessivos períodos de paralisação, da necessidade do Estado de contingenciar recursos em razão da crise financeira qu acometeu o país e também em razão da ABF Engenharia ter entrado em recuperação judicial, não podendo cumprir algumas das obrigações inerentes ao término da Obra, não foi possível a continuidade da contratação. </t>
  </si>
  <si>
    <t>021/2018</t>
  </si>
  <si>
    <t>55811/18</t>
  </si>
  <si>
    <t>A secretaria não forneceu informações além do fato de que a obra foi relicitada.</t>
  </si>
  <si>
    <t>o contrato foi encerrado e a obra, relicitada</t>
  </si>
  <si>
    <t>O pagamento encontrado no Tome Conta é irrisório se comparado com o valor total da obra. Por este motivo, consideraremos a obra paralisada.</t>
  </si>
  <si>
    <t xml:space="preserve"> a obra foi encerrada com redução de meta.</t>
  </si>
  <si>
    <t>Não foi possível encontrar a obra no Tome Conta, sendo impossível fazer verificação de pagamento.</t>
  </si>
  <si>
    <t xml:space="preserve"> a obra foi concluída em 2015 com redução de metas aprovada pela Caixa Econômica Federal</t>
  </si>
  <si>
    <t xml:space="preserve"> a obra foi concluída</t>
  </si>
  <si>
    <t>Como foi informado que a obra ainda será relicitada, consideraremos que ela está,atualmente, paralisada.</t>
  </si>
  <si>
    <t>A obra foi rescindida e será licitada novamente com redução de meta</t>
  </si>
  <si>
    <t>A obra foi rescindida e relicitada</t>
  </si>
  <si>
    <t>O contrato foi rescindido e a empresa inicial não foi sequer encontrada no Tome Conta, sendo impossível verificar se receberam algum pagamento por alguma parte da obra que foi feita. Consideraremos a obra paralisada.</t>
  </si>
  <si>
    <t>A obra foi encerrada com redução de meta</t>
  </si>
  <si>
    <t>A obra foi rescindida e será licitada novamente com redução de meta.</t>
  </si>
  <si>
    <t>A secretaria não forneceu informações além do fato de que a obra foi rescindida. Desta maneira, consideraremos a obra como paralisada.</t>
  </si>
  <si>
    <t>A obra foi rescindida</t>
  </si>
  <si>
    <t>Não foi possível identificar a empresa no Tome Conta, sendo impossível verificar se houve pagamento e, por conseguinte, se a obra realmente está em andamento.</t>
  </si>
  <si>
    <t>Atualmente a obra encontra-se em andamento</t>
  </si>
  <si>
    <t>A obra foi concluída com redução de metas</t>
  </si>
  <si>
    <t>A secretaria forneceu apenas a informação de que a obra está em processo de licitação. Sendo assim, consideraremos a obra paralisada.</t>
  </si>
  <si>
    <t>A obra foi rescindida e se encontra em Processo de Licitação</t>
  </si>
  <si>
    <t>O contrato foi cancelado e relicitado</t>
  </si>
  <si>
    <t>A obra está em andamento com previsão de conclusão para dezembro de 2018</t>
  </si>
  <si>
    <t>No Tome Conta consta um pagamento de mais da metade do valor total da obra, com o ultimo em 2017. A secretaria não ofereceu explicações sobre o resto do pagamento, por isso consideraremos a obra paralisada.</t>
  </si>
  <si>
    <t>A obra se encontra concluída</t>
  </si>
  <si>
    <t>A secretaria não ofereceu explicações.</t>
  </si>
  <si>
    <t>A secretaria não ofereceu explicações ou medidas tomadas para retomar a obra. Desta maneira, a consideraremos paralisada.</t>
  </si>
  <si>
    <t>a obra se encontra com contrato de repasse extinto sem desembolso</t>
  </si>
  <si>
    <t>076/2018 - GEAJU/GAB</t>
  </si>
  <si>
    <t>54.279/18</t>
  </si>
  <si>
    <t xml:space="preserve">Classificada como obra paralisada como diz o ofício de resposta. </t>
  </si>
  <si>
    <t xml:space="preserve">O consórcio contratado abandonou a obra com 1,83% dos serviços executados. Em decorrência disso, fora aberto o processo administrativo que resultou na rescisão do contrato. O consórcio ajuizou ações judiciais cujos acompanhamentos são realizados pela Procuradoria Geral do Estado de Pernambuco. </t>
  </si>
  <si>
    <t>O orgão diz que a obra estava concluída desde 2016, mas não mandou comprovante nenhum, então continua como paralisada.</t>
  </si>
  <si>
    <t>Obra concluída desde maio de 2016.</t>
  </si>
  <si>
    <t>O orgão diz que a obra estava concluída desde 2017, mas não mandou comprovante nenhum, então continua como paralisada.</t>
  </si>
  <si>
    <t>Obra concluída desde maio de 2017.</t>
  </si>
  <si>
    <t>O orgão diz que a obra estava concluída desde 2014, mas não mandou comprovante nenhum, então continua como paralisada.</t>
  </si>
  <si>
    <t>Obra concluída desde abril de 2014.</t>
  </si>
  <si>
    <t>Obra concluída desde abril de 2016.</t>
  </si>
  <si>
    <t>O orgão diz que a obra estava concluída desde 2013, mas não mandou comprovante nenhum, então continua como paralisada.</t>
  </si>
  <si>
    <t>Obra concluída desde agosto de 2013.</t>
  </si>
  <si>
    <t>O orgão diz que a obra estava concluída desde 2015, mas não mandou comprovante nenhum, então continua como paralisada.</t>
  </si>
  <si>
    <t>Obra concluída desde setembro de 2015.</t>
  </si>
  <si>
    <t xml:space="preserve">Devido ao plano de contigenciamento, considerando o cenário fiscal a partir do ano de 2015 e a necessidade do governo de reduzir ações anteriormente planejadas para adequá-las ao cenário vigente, essa obra saiu do roll de prioridades e nos anos subsequentes, a SECID solicitou orçamento para deteminadas obras, porém não foram atendidas, levando a paralisação da obra. </t>
  </si>
  <si>
    <t>obra concluiída desde abril de 2017.</t>
  </si>
  <si>
    <t>obra concluída desde julho de 2016.</t>
  </si>
  <si>
    <t>Obra concluída desde dezembro de 2017.</t>
  </si>
  <si>
    <t>386/2018</t>
  </si>
  <si>
    <t>686/2018 - SERH/SEPLAG</t>
  </si>
  <si>
    <t>54674/18</t>
  </si>
  <si>
    <t xml:space="preserve">Obra paralisada como próprio ofício aponta. </t>
  </si>
  <si>
    <t xml:space="preserve">Os serviços em questão encontram-se paralisados desde 01/08/2018 devido à falta de repasse de recursos, e a obra encontra-se com 25% de execução física. A SERH está finalizando a análise da readequação do projeto executivo da Barragem de Barra de Guabiraba pelos consultores especialistas em projeto de barragem, estruturas e geotecnia para iniciar o processo de licitação para conclusão do empreendimento. </t>
  </si>
  <si>
    <t xml:space="preserve">Obra paralisada como próprio ofício aponta, porém em processo de novo processo licitatório. </t>
  </si>
  <si>
    <t xml:space="preserve">A paralisação da obra se deve principalmente pela não disponibilidade de recursos financeiros.  A execução foi paralisada desde 10/10/2014 em virtude do contigenciamento econômico nas esferas federal e estadual. A construção da barragem não foi retomada. Encontra-se em processo de finalização na SERH a concorrência nº 001/2018 - PA nº 001/2018 para Contratação de mepresa para Conclusão das obras de Construção da Barragem de Panelas II - 3ª Etapa, com fornecimento pela empresa contratada de materiais e equipamentos necessários de acorod com as quantidades e especificações contidas nas planilhas de quantidades e preço. Foi enviado para orçamento da união uma Emenda Obrigatória da Bancada de Pernambuco no vlaor de 35 milhões para execução deste empreendimento. </t>
  </si>
  <si>
    <t xml:space="preserve">A paralisação da obra se deve principalmente pela não disponibilidade de recursos financeiros.  A execução foi paralisada desde 01/03/2014 em virtude do contigenciamento econômico nas esferas federal e estadual. A construção da barragem não foi retomada. </t>
  </si>
  <si>
    <t xml:space="preserve">Obra concluída, porém sem documentação comprobatória. Paralisada. </t>
  </si>
  <si>
    <t xml:space="preserve">O governo do Estado de Pernambuco firmou Contrato de Financiamento oneroso com a Caixa Econômica Federal, através do programa de Aceleração de Crescimento (PAC) do Governo Federal. O primeiro trecho T6, englobava a área estuarina no rio, sendo iniciado em 01 de emaio de 2012 e concluído em dezembro de 2013 foi dada a ordem de serviço para a continuidade da obra nos Trechos 5 a 1, trechos urbanos do rio, sendo concluídos em 2015. </t>
  </si>
  <si>
    <t xml:space="preserve">A paralisação da obra se deve principalmente pela não disponibilidade de recursos financeiros.  A execução foi paralisada desde 10/10/2014 em virtude do contigenciamento econômico nas esferas federal e estadual. A construção da barragem não foi retomada. A SERH está finalizando a análise da readequação do projeto executivo da Barragem de Igarapeba pelos consultores especialistas em projeto de barragem, estruturas e geotecnia para iniciar o processo de licitação para conclusão do empreendimento. </t>
  </si>
  <si>
    <t xml:space="preserve">O contrato teve paralisação dos serviços em 10/11/2017 e o encerramento do prazo de vigência em 11/11/2017. E encontra-se em fase de levantamento de documentações necessárias para realizar novo processo licitatório. </t>
  </si>
  <si>
    <t xml:space="preserve">O orgão não se manifestou em justificativa a essa obra. </t>
  </si>
  <si>
    <t xml:space="preserve">A obra teve seu contrato suspenso no dia 10/10/2014, face às restrições orçamentárias do Governo do Estado de Pernambuco. Está prevista a retomada dos serviços tão logo haja empenho para o referido contrato. Do valor contratado foi executado financeiramente 57,95%.A SERH deverá contratar o levantamento do remanescente de obra com a readequação do projeto executivo e posteriormente contratação da conclusão da construção da barragem. </t>
  </si>
  <si>
    <t xml:space="preserve">Os serviços tiveram início em 29/08/2016 e foram finalizados em 29/12/2016, dentro do prazo contratual e de maneira satisfatória. </t>
  </si>
  <si>
    <t>484/2018</t>
  </si>
  <si>
    <t>084/2018</t>
  </si>
  <si>
    <t>55393/18</t>
  </si>
  <si>
    <t xml:space="preserve">Será realizada nova licitação, mas ainda está em fase de planejamento, assim a obra continua paralisada. </t>
  </si>
  <si>
    <t>Status da Obra: quantitativos executados aprovados, porém não cumprem totalmente o escopo contratado. Último pagamento vinculado a este contrato realizado no decorrer do exercício de 2014. Decisão quanto ao desfecho deste processo sendo tratada entre o Governo Federal e o Governo Holandês. Será realizada nova licitação, em fase de planejamento, para conclusão do objeto deste contrato.</t>
  </si>
  <si>
    <t xml:space="preserve">Houve o processo administrativo, bem como as punições à empresa, porém a obra continua paralisada, já que  o orgão não enviou nenhuma informação sobre a nova empresa contratada e nem do novo andamento da obra.  </t>
  </si>
  <si>
    <t xml:space="preserve">O pagamento da primeira medição, único realizado através deste contrato, foi realizado em janeiro de 2016. Foi instaurado Processo Administrativo (PAD) através da Portaria nº061/2016 para apuração de responsabilidades e omissões quanto à prestação de serviços. A decisão deste PAD, datada de 23 de dezembro de 2016, determina a supensão da empresa Metropolitana de licitar e contratar com a empresa Suape durante doze meses, além consolidar que o montante devido pela Metropolitana à Suape importa em R$ 928.200,48.
Para conclusão da entrega do objeto, foi realizado novo processo licitatório (CC007/2017), o qual originou o Contrato nº 040/2017, firmado com o Consórcio Constal/ETCO.
</t>
  </si>
  <si>
    <t xml:space="preserve">Ordem de serviço postergada, obra paralisada. </t>
  </si>
  <si>
    <t xml:space="preserve">Emissão de Ordem de Serviço postergada, ocorrida em 09/07/2018, em função de limitação de disponibilidade orçamentária.
</t>
  </si>
  <si>
    <t>Ainda vai se realizar perícia para análise da estrutura em andamento, atualizando itens e serviços executados. Porém, no TOME CONTA não há nenhuma comprovação de pagamento para a referida obra, então ela se encontra paralisada.</t>
  </si>
  <si>
    <t>O pagamento da primeira medição, único realizado através deste contrato, foi realizado em novembro de 2016. Processo Administrativo em andamento.
Contratação de perícia para análise da estrutura em andamento, atualizando itens de serviço e quantitativos.</t>
  </si>
  <si>
    <t xml:space="preserve">O orgão não enviou nenhuma informação se a obra encontra-se concluída ou inacabada, assim declara-se paralisada a obra. </t>
  </si>
  <si>
    <t xml:space="preserve">Contrato encerrado desde 13/01/2017.
</t>
  </si>
  <si>
    <t xml:space="preserve">Contrato encerrado desde 13/06/2017.
</t>
  </si>
  <si>
    <t>485/2018</t>
  </si>
  <si>
    <t>748/2018 - GABR/UPE</t>
  </si>
  <si>
    <t>52298/18</t>
  </si>
  <si>
    <t>Obra paralisada, com pedido de prorrogação de prazo. O valor pago em 2017 declarado pela UPE  difere daquele recebido pela contratada no mesmo exercício.</t>
  </si>
  <si>
    <t>Ao longo da vigência do convênios houve bastante atraso nos repasses financeiro por parte do MEC/FND, embora houvesse vários ofícios solicitando a liberação desses repasses, cópias em anexo. O convênio Nº 782788/2013 MEC/FNDE/UPE foi depoistada a liberação da 2ª parcela do convênio em 28/08/2018 e estamos com dificuldade para retomada das obras com a empresa contratada tendo em vista que os 10 meses de atraso no pagamento dos serviços realizados. Estamos negociando com a mesma o reinício da obra. Caso não seja possível, teremos que realizar novo processo licitatório para execução dos serviços remanescentes.</t>
  </si>
  <si>
    <t>379/2018</t>
  </si>
  <si>
    <t>54801/18</t>
  </si>
  <si>
    <t xml:space="preserve">Contrato encerrado em face do decurso de prazo contratual, pelo o que as pendências financeiras por ventura existentes são tratadas, cada caso, por meio dos respectivos Termos de Ajustes. </t>
  </si>
  <si>
    <t>486/2018</t>
  </si>
  <si>
    <t>138/2018-PRESCI/CSURB</t>
  </si>
  <si>
    <t>52232/18</t>
  </si>
  <si>
    <t>No TOME CONTA não há pagamentos desse órgão à contratada no exercício de 2017</t>
  </si>
  <si>
    <t>Tal obra foi destratada com a empresa contratada em 2017, por necessidade de modificações do projeto, posi, anteriormente seria também construído o Centro de Comércio Popular Saudade/Sete de Setembro, o que não ocorreu,o qual daria apoio com infraestrutura ao CCP Saudade/Riachuelo, em razão disto, se fazia necessário alterações na planilha orçamentária, com a inclusão de novos serviços, e de aumento das quantidades e serviços existentes na planilha, elevando o orçamento. Está me análise o novo processo a fim de viabilizar a inclusão da infraestrutura de apoio necessária para o funcionamento isolado do Centro de Comércio Popular Saudade/Riachuelo. Conforme informado pelo setor financeiro, não houve pagamento referente a esta obra em 2017.</t>
  </si>
  <si>
    <t xml:space="preserve">Não apresentou comprovantes de pagamento para o exercício de 2017. </t>
  </si>
  <si>
    <t>Conforme descreve a própria planilha, a obra foi concluída, o que foi ratificado por nosso engenheiro. Com relação aos pagamentos a esta obra em 2017: conforme informado pelo Setor Financeiro, não houve pagamento referente a esta obra em 2017.</t>
  </si>
  <si>
    <t>Conforme informado por nosso engenheiro no Parecer Técnico 013/2018, em anexo, a obra foi devidamente concluída. Com relação  aos pagamentos ocorridos a esta obra em 2017: conforme informado pelo setor Financeiro, não houve pagamento referente a esta obra em 2017.</t>
  </si>
  <si>
    <t>472/2018</t>
  </si>
  <si>
    <t>145/2018 -GAB/CSURB</t>
  </si>
  <si>
    <t>54661/18</t>
  </si>
  <si>
    <t>Obra já concluída.</t>
  </si>
  <si>
    <t>Obra paralisada, pois não foi encontrado pagamento no Tome Conta para o valor contratado e nem foi enviado comprovante de pagamento para o saldo de contrato.</t>
  </si>
  <si>
    <t>474/2018</t>
  </si>
  <si>
    <t>840/2018</t>
  </si>
  <si>
    <t>56427/18</t>
  </si>
  <si>
    <t xml:space="preserve">Contrato encerrado, sem orçamento para a execução de projeto, então se classifica como obra inacabada. </t>
  </si>
  <si>
    <t xml:space="preserve">Contrato encerrado por decurso de prazo. Sem orçamento para a execução do projeto. </t>
  </si>
  <si>
    <t xml:space="preserve">Em processo de adequação de projeto. Obra paralisada. </t>
  </si>
  <si>
    <t xml:space="preserve">Contrato encerrado por decurso de prazo. Processo administrativo para responsabilização em andamento. Serão realizados estudos para adequação do projeto para viabilizar a relicitação e execução da obra. </t>
  </si>
  <si>
    <t xml:space="preserve">Mesmo que os parques estejam em funcionamento, como o orgão não apresentou nenhuma comprovação de que a obra foi concluída, ela continua como inacabada. </t>
  </si>
  <si>
    <t>Contrato encerrado por decurso de prazo. Parques estão em funcionamento e sob responsabilidade da EMLURB.</t>
  </si>
  <si>
    <t xml:space="preserve">Obra declarada em andamento, porém na consulta no TOME CONTA do dia 19/11/2018, não há nenhuma confirmação sobre o andamento da obra. </t>
  </si>
  <si>
    <t xml:space="preserve">Houve um distrato, mas não há comprovação de que a obra foi concluída. </t>
  </si>
  <si>
    <t xml:space="preserve">Distrato amigável. Mudança de direcionamento da área do antigo Aeroclube. </t>
  </si>
  <si>
    <t xml:space="preserve">Obra encerrada, porém não finalizada. </t>
  </si>
  <si>
    <t>Obra encerrada por decurso de prazo.</t>
  </si>
  <si>
    <t xml:space="preserve">Diz-se que a obra foi concluída, mas não apresentou nenhum comprovante. Obra paralisada. </t>
  </si>
  <si>
    <t xml:space="preserve">Obra concluída. </t>
  </si>
  <si>
    <t>O orgão não se manifestou sobre a obra</t>
  </si>
  <si>
    <t xml:space="preserve">Não há nenhum registro no TOME CONTA, então a obra continua paralisada. </t>
  </si>
  <si>
    <t>GABPE 402/2018</t>
  </si>
  <si>
    <t>54809/18</t>
  </si>
  <si>
    <t xml:space="preserve">Execução suspensa por recomendação do Ministério Público. O objeto  do contrato previa a construção de uma feira livre em terreno contíguo ao prédio do antigo Hospital Magitot, construção classificada como IEP e, assim, entendendo em tal terreno é parte integrante da edificação, o MPE recomendou a suspensão da obra até que a Administração contasse com o projeto de restauro para o prédio propriamente dito, serviço de alta complexidade e, portanto, de alto custo, não disponível no orçamento municipal. </t>
  </si>
  <si>
    <t>490/2018</t>
  </si>
  <si>
    <t>337/2018</t>
  </si>
  <si>
    <t>53172/18</t>
  </si>
  <si>
    <t>Obra continua como paralisada/inacaba, pois os pagamentos encontrados no Tome Conta não perfazem o valor contratual e nem foi enviado documento comprobatório de pagamento para que a obra fosse assegurada como concluída.</t>
  </si>
  <si>
    <t>A obra foi concluída em julho de 2016 e o pagamento ocorreu em 2017 foi referente ao DEA correspondente a 25ª medição.</t>
  </si>
  <si>
    <t>A obra continua como paralisada/inacabada, pois a licitação ainda está em fase de habilitação e, portanto, as obras ainda não foram reiniciadas.</t>
  </si>
  <si>
    <t>Obra foi paralisade em 2014. E após diversas tratativas com a Caixa Econômica Federal (CEF), a Autarquia de Urbanização do Reciife (URB) que atuará como interveniente deste contrato lançou a licitação em 30/08/2018, através do Processo nº 23/2018, Licitação nº 10/2018, na fase de habilitação.</t>
  </si>
  <si>
    <t>A obra continua como paralisada, pois ainda não foi lançada uma nova licitação para concluí-la.</t>
  </si>
  <si>
    <t>A referida obra foi paralisada em agosto/2017. Considerando o cenário econômico, não houve possibilidade da liberação do referido reajuste e por isso a obra vai ficar sob a responsabilidade da Autarquia de Urbanização do Recife (URB) que está realizando atualização dos projetos e levantamento atual para realizar nova licitação com o objetivo de concluir a obra em 2019.</t>
  </si>
  <si>
    <t>Obra continua como paralisada/inacabada como dito na justificativa.</t>
  </si>
  <si>
    <t>A execução deste contrato depende do avanço na obra do Conjunto Habitacional Sergio Loreto e como a mesma foi paralisada o serviço só poderá ser realizado após a contratação de uma nova empresa, cuja licitação já está em andamento.</t>
  </si>
  <si>
    <t>0869/2018</t>
  </si>
  <si>
    <t>55207/18</t>
  </si>
  <si>
    <t xml:space="preserve">A obra ainda está em estágio de adequação dos projetos complementares para que seja iniciada a licitação. Assim, ainda continua paralisada. </t>
  </si>
  <si>
    <t xml:space="preserve">O obra foi paralisada em 04/2016 por insuficiência financeira da empresa contratada e o contrato fora, então, encerrado. O projeto de arquitetura foi adequado conforme solicitação dos profissionais da Secretaria de Saúde e, assim, está em fase de adequação dos projetos complementares para que seja iniciada a licitação da continuidade de serviços. Pretende-se que o certame ocorra ainda no mês de Dezembro deste ano. </t>
  </si>
  <si>
    <t xml:space="preserve">O orgão informou que a obra está em andamento, porém não enviou nenhum documento comprobatório. </t>
  </si>
  <si>
    <t xml:space="preserve">A obra foi paralisada em maio/2015 por insuficiência financeira da empresa contratada. O contrato para a sequência e conclusão da obra teve sua Ordem de Serviço expedida em 07/05/2018. Sendo assim, está em andamento e apresenta um percentual de cerca de 60% de serviços executados. </t>
  </si>
  <si>
    <t xml:space="preserve">Obra paralisada em fevereiro de 2016, tendo em vista a decisão liminar proferida nos autos do Processo nº 0060988-14.2015.8.17.0001, que determinou a suspensão das obras. </t>
  </si>
  <si>
    <t>359/2018</t>
  </si>
  <si>
    <t>55368/18</t>
  </si>
  <si>
    <t xml:space="preserve">Obra sem pagamento, paralisada. </t>
  </si>
  <si>
    <t xml:space="preserve">Falta de Repasse da Caixa Econômica Federal.  A providência de Retomada foi o envio de documentos pendentes sobre reprogramação na iluminação, já enviada, aguardando retomada do pagamento. </t>
  </si>
  <si>
    <t xml:space="preserve">Município não enviou comprovação da conclusão, então continua paralisada. </t>
  </si>
  <si>
    <t xml:space="preserve">Obra concluída e liquidada. </t>
  </si>
  <si>
    <t xml:space="preserve">Município não enviou comprovação de distrato, novo processo licitatório e nova contração, nem da situação atual da obra. Continua como paralisada. </t>
  </si>
  <si>
    <t xml:space="preserve">A empresa contratada abandoou a obra. Providência: Termo de distrato realizado, nova empresa licitada e o contrato em andamento. </t>
  </si>
  <si>
    <t xml:space="preserve">Município não enviou comprovação da não necessidade dos serviços, então continua paralisada. </t>
  </si>
  <si>
    <t xml:space="preserve">Por ser um contrato de serviços diversos e não de uma obra específica, no período citado, não houveram necessidades relacionadas ao objeto e por isso nada foi executado. </t>
  </si>
  <si>
    <t xml:space="preserve">Arrecadação municipal inferior ao esperado, havendo a necessidade de determinação de prioridades a administração pública municipal, que foram pagamento de folha de previdência. </t>
  </si>
  <si>
    <t>441/2018</t>
  </si>
  <si>
    <t>383/2018</t>
  </si>
  <si>
    <t>54395/18</t>
  </si>
  <si>
    <t>Na planilha enviada há a presença de um pagamento da ordem de 2.468.696,66, porém ele não consta no Tome Conta e não foram enviados anexos comprovando o pagamento.</t>
  </si>
  <si>
    <t>Uma das escolas, a de Cachoeira do Roberto, foi concluída, e as outras duas estão ainda em execução devido ao atraso no desembolso do FNDE.</t>
  </si>
  <si>
    <t>Não foi possível comprovar o pagamento que foi informado na planilha recebida, visto que não foi enviado nenhum anexo e no Tome Conta o valor total pago foi menor do que o alegado na planilha</t>
  </si>
  <si>
    <t>Obra concluída, aguardando liberação da última parcela para quitar o  contrato</t>
  </si>
  <si>
    <t>Três das quatro unidades já foram concluídas, com a de Cachoeira em fase de conclusão</t>
  </si>
  <si>
    <t>Não foi possível comprovar o pagamento que foi informado na planilha recebida, visto que não foi enviado nenhum anexo e  o órgão referido não foi encontrado no Tome Conta</t>
  </si>
  <si>
    <t>Obra concluída e em fase de prestação de contas final</t>
  </si>
  <si>
    <t>493/2018</t>
  </si>
  <si>
    <t>648/2018</t>
  </si>
  <si>
    <t>61615/18</t>
  </si>
  <si>
    <t>Não foram enviadas informações que possam confirmar que a obra está concluída.</t>
  </si>
  <si>
    <t>Busca realizada no TOME CONTAS (07/12/2018) não encontrou valores pagos no ano de 2018. Portanto, obra tida como paralisada.</t>
  </si>
  <si>
    <t>Em andamento  obra com 93,27% executada (convênio MTUR/Caixa)</t>
  </si>
  <si>
    <t>Consulta realizada no TOME CONTAS (07/12/2018), não encontrou pagamentos  para o contrato em questão no ano de 2018. Dessa maneira a obra é tida como paralisada.</t>
  </si>
  <si>
    <t>obra paralisada</t>
  </si>
  <si>
    <t>cancelada por falta de recursos</t>
  </si>
  <si>
    <t>Não foi possível encontrar a empresa no tome contas, de modo que não há como comprovar que a obra esteja em andamento.</t>
  </si>
  <si>
    <t>visto que a empresa desistou da obra, e que nenhuma medida foi tomada para retomar a mesma, a obra é entendida como paralisada.</t>
  </si>
  <si>
    <t>Cancelado - Empresa não teve interesse na continuidade da obra.</t>
  </si>
  <si>
    <t>se a obra foi cancelada por falta de recursos então a mesma está paralisada</t>
  </si>
  <si>
    <t>Cancelamento por falta de recursos</t>
  </si>
  <si>
    <t>não enviou informações</t>
  </si>
  <si>
    <t>494/2018</t>
  </si>
  <si>
    <t>368/2018</t>
  </si>
  <si>
    <t>59441/18</t>
  </si>
  <si>
    <t>Pela própria admissão do município, obra paralisada.</t>
  </si>
  <si>
    <t>A prefeitura vem desde 23/12/2015 em contato com o FNDE para o destravamento da obra. No momento ainda encontra-se em análise no FNDE.</t>
  </si>
  <si>
    <t>495/2018</t>
  </si>
  <si>
    <t>036/18 - SF</t>
  </si>
  <si>
    <t>54806/18</t>
  </si>
  <si>
    <t>Como o próprio ofício diz, obra paralisada.</t>
  </si>
  <si>
    <t xml:space="preserve">Obra paralisada à espera da disponibilidade de recursos por parte da entidade concedente </t>
  </si>
  <si>
    <t>Obra paralisada, empresa notificada, sme obtenção de resposta. Informamos ainda que a vigência do Convênio está expirada.</t>
  </si>
  <si>
    <t xml:space="preserve">Como o próprio ofício diz, obra inacabada. </t>
  </si>
  <si>
    <t xml:space="preserve">Obra inacabada, vigência do convênio vencida e preços inexequíveis. </t>
  </si>
  <si>
    <t xml:space="preserve">No TOME CONTA não há qualquer pagamento referente a essa obra no exercício de 2017, assim não há como comprovar a continuidade de execução da obra. Assim, classificada como paralisada. </t>
  </si>
  <si>
    <t xml:space="preserve">Em andamento. Já encaminhamos a comprovação dos 60% de execução, como também, a aprovação da reprogramação dos planos de trabalho aos orgãos competentes. Aguardamos agora a disponibilidade da parcela de recurso. </t>
  </si>
  <si>
    <t>Diz-se que a obra já foi concluída, mas não há como confirmar a conclusão porque o orgão não enviou nenhum comprovante.</t>
  </si>
  <si>
    <t xml:space="preserve">Obra já concluída em março de 2015. </t>
  </si>
  <si>
    <t xml:space="preserve">Obra em andamento. </t>
  </si>
  <si>
    <t>Obra inacabada, vigência do convênio expirada.</t>
  </si>
  <si>
    <t>Obra concluída em setembro de 2016</t>
  </si>
  <si>
    <t xml:space="preserve">Obra inacabada, vigência do convênio expirada. </t>
  </si>
  <si>
    <t>481/2018</t>
  </si>
  <si>
    <t>58059/18</t>
  </si>
  <si>
    <t>As obras se encontram paralisadas pela própria admissão do município, que ainda vai providenciar uma nova licitação para conclusão dos objetos.</t>
  </si>
  <si>
    <t>A Prefeitura de Amaraji notificou a empresa em 08/01/2018 para retomada imediata das obras, bem como abriu processo administrativo. A empresa retomou os serviços, no entanto paralisou novamente sem atender por completo a notificação. O município concluirá o processo administrativo, instaurando e decretando as penalidades aplicáveis da Lei 8.666, e providenciará um novo certame licitatório para conclusão dos objetos.</t>
  </si>
  <si>
    <t>As obras se encontram paralisadas pela própria admissão do município, que ainda vai providenciar uma nova licitação para conclusão da mesma.</t>
  </si>
  <si>
    <t>A atual da gestão protocolou representação criminal e por ato de improbidade admnistrativa em face de Jânio Gouveia da Sila, ex-prefeito em março/2018 (PRM-SAG-PE-00001212/2018). O município está em vias de conclusão do projeto para encaminhamento a um novo certame licitatório.</t>
  </si>
  <si>
    <t>No Tome Conta não há sequer menção desta obra, de maneira que é impossível verificar qualquer pagamento.</t>
  </si>
  <si>
    <t xml:space="preserve">As obras se encontram paralisadas pela própria admissão do município..
</t>
  </si>
  <si>
    <t>A Prefeitura, através da secretaria de obras está levntando os serviços executaos e pagos, a mpresa Construtora Solo LTDA-ME, para tomar as medidas admnistrativas de continuidade deta obra.</t>
  </si>
  <si>
    <t>328/2018/GP</t>
  </si>
  <si>
    <t>55769/18</t>
  </si>
  <si>
    <t>Pagamento que consta no TOME CONTA é irrisório. Obra paralisada.</t>
  </si>
  <si>
    <t xml:space="preserve">Os pagamentos da referida obra são efetuados de acordo com a liberação de repasses do FNDE, a mesma encontra-se em andamento com previsão de conclusão em 2019. </t>
  </si>
  <si>
    <t>Obra paralisada como próprio ofício aponta.</t>
  </si>
  <si>
    <t xml:space="preserve">A atual gestão encontrou a obra abandonada pela gestão anterior, situação que levou a uma nova licitação e uma nova elaboração de planilha orçamentária. Não foram realizados pagamentos no exercício de 2017, pagamentos realizados no exercício de 2018 serão informados no mapa do respectivo exercício. </t>
  </si>
  <si>
    <t xml:space="preserve">A gestão encontrou a obra paralisada por falta de recursos financeiros, estando paralisada até o momento por este mesmo motivo e por não conseguir atender as exigências técnicas estabelecidas pela Agência de Defesa e fiscalização Agropecuária - ADAGRO, ainda no aguardo de uma visita do referido orgão para sanar as exigências técnicas. </t>
  </si>
  <si>
    <t>Obra paralisada em processo de alteração no projeto inicial.</t>
  </si>
  <si>
    <t xml:space="preserve">Houve uma alteração no projeto inicial da obra havendo uma alteração no quantitativo de concreto a ser utilização, sendo necessáiro recalcular o custo da planilha orçamentária de pagamentos para a sua conclusão. </t>
  </si>
  <si>
    <t>235/2018 - GAB</t>
  </si>
  <si>
    <t>53815/18</t>
  </si>
  <si>
    <t xml:space="preserve">A documentação do referido encerramento de contrato não se encontrava em anexo, assim continua paralisada. </t>
  </si>
  <si>
    <t xml:space="preserve">Convênio encerrado com prestação de contas aprovada no SIAFI, conforme documentação em anexo. </t>
  </si>
  <si>
    <t xml:space="preserve">Convênio em fase de encerramento com redução de meta, aguardando análise final da Caixa Econômica Federal. </t>
  </si>
  <si>
    <t xml:space="preserve">Convênio em fase de encerramento com redução de meta, aguardando posicionamento do ministério. </t>
  </si>
  <si>
    <t>264/2018</t>
  </si>
  <si>
    <t>58.638/18</t>
  </si>
  <si>
    <t>Em acesso ao TOME CONTAS no dia 28/11/2018, não foi encontrado pagamento para a empresa nos exercícios de 2017 e 2018.</t>
  </si>
  <si>
    <t>O município enviou a seguinte resposta: Quando assumimos a gestão do município de Barreiros em Janeiro de 2017, já encontramos as obras referentes as tomadas de preço 02 e 04/2014 concluídas, somente tomando conhecimento do não pagamento total uma vez que as obras eram de 2014 quando as empresas nos procuraram, ficamos sabendo também que eram verbas a serem repassadas pelo governo do estado, verbas essas que quando nos fora creditada efetuamos os referidos pagamentos as empreiteiras. Também foi informado que o pagamento efetuado em 2017 a Empresa Ação X, referente a obra de pavimentação em paralelepípedos não foi informado no mapa de obras em função da rúbrica em que estava empenhada que não era na correta 449100 (Obras e Serviços), não sendo disponibilizados para a confecção do mesmo.</t>
  </si>
  <si>
    <t>Não foi encontrada a empresa referida no Tome Conta, sendo impossível verificar a alegação do município</t>
  </si>
  <si>
    <t>Em ofício de resposta foi informado que a obra da passagem molhada no engenho do Bom Jardim não passou de uma simples aquisição de tubos de concreto através de um empenho ordinário e assentados pelos próprios funcionários da secretaria de obras.</t>
  </si>
  <si>
    <t>Apesar de constar o  empenho referente a obra,  não foi realizado o pagamento.</t>
  </si>
  <si>
    <t>Em ofício de resposta foi informado que o pregão foi para a aquisição de materiais diversos a serem entregues fracionadamente a prefeitura afim de fazer a manutenção de seus prédios públicos, esta parcela utilizada nas escolas municipais foram executadas diretamente pela secretaria de obras.</t>
  </si>
  <si>
    <t>595/2018</t>
  </si>
  <si>
    <t>029/2018</t>
  </si>
  <si>
    <t>57975/18</t>
  </si>
  <si>
    <t xml:space="preserve">Obra não realizada, porém o orgão não declarou se ela era imprescindível ou não. Continua como inacabada. </t>
  </si>
  <si>
    <t xml:space="preserve">A atual situação da obra é não realizada e cancelada. A atual gestão propôs Ação Ciivl Pública por Ato de Improbidade Administrativa com Pedido Liminar que tramita na 26ª Vara Federal em Pernambuco. </t>
  </si>
  <si>
    <t>O orgão declara a obra como concluída, porém no TOME CONTA, consultado dia 23/11/2018, há apenas um pagamento  de cerca de 20% da obra. Inacabada</t>
  </si>
  <si>
    <t xml:space="preserve">A atual situação da obra é concluída. </t>
  </si>
  <si>
    <t>O orgão declara a obra como concluída, porém no TOME CONTA, consultado dia 23/11/2018, há apenas um pagamento  de cerca de 30% da obra. Inacabada.</t>
  </si>
  <si>
    <t xml:space="preserve">O município não se manifestou sobre a obra. </t>
  </si>
  <si>
    <t>502/2018</t>
  </si>
  <si>
    <t>174/2018</t>
  </si>
  <si>
    <t>57565/18</t>
  </si>
  <si>
    <t xml:space="preserve">Conforme consta no TOME CONTA, dia 26/11/2018, o pagamento referente a essa obra é irrisório. Obra paralisada. </t>
  </si>
  <si>
    <t xml:space="preserve">Obra em andamento </t>
  </si>
  <si>
    <t xml:space="preserve">Como o orgão não deixa claro se a obra continua em andamento  e no  TOME CONTA, consultado dia 26/11/2018, não há pagamento referente a obra. </t>
  </si>
  <si>
    <t xml:space="preserve">Foi realizada em alguns sítos. </t>
  </si>
  <si>
    <t xml:space="preserve">O orgão não enviou compravação da conclusão da obra, então encontra-se inacabada. </t>
  </si>
  <si>
    <t xml:space="preserve">Foi inaugurada pela antiga administração municipal há vários anos. </t>
  </si>
  <si>
    <t xml:space="preserve">Obra licitada porém nem inciiada. Inacabada. </t>
  </si>
  <si>
    <t xml:space="preserve">A construção não pode se considerar uma obra nem iniciada, existindo alguns tijolos nos fundos do terreno da Creche Municipal. </t>
  </si>
  <si>
    <t>503/2018</t>
  </si>
  <si>
    <t>172/2018</t>
  </si>
  <si>
    <t>56279/2018</t>
  </si>
  <si>
    <t xml:space="preserve">Houve uma rescisão e aguarda-se publicação do edital para nova licitação de conclusão dos serviços. Obra continua paralisada. </t>
  </si>
  <si>
    <t xml:space="preserve">Obra distratada, rescisão contratual e publicação em anexo. Aguardando publicação do edital para nova licitação de conclusão dos serviços. </t>
  </si>
  <si>
    <t xml:space="preserve">No TOME CONTA, consultado dia 23/11/2018, consta um valor irrisório de pagamento, então a obra continua inacabada. </t>
  </si>
  <si>
    <t xml:space="preserve">No TOME CONTA, consultado dia 23/11/2018, não consta pagamento, então a obra continua inacabada. </t>
  </si>
  <si>
    <t xml:space="preserve"> GP 396/2018</t>
  </si>
  <si>
    <t>55772/18</t>
  </si>
  <si>
    <t xml:space="preserve">Prefeitura ainda em processo de levantamento de serviços remancescentes para a conclusão da obra. Obra paralisada. </t>
  </si>
  <si>
    <t xml:space="preserve">Através do decreto nº15, de 12 de abril de 2018, o contrato com a empresa Capa Construções, Eventos e Empreendimentos LTDA - ME foi rescindido, uma vez que esta abandonou os serviços contratados sem que esses fossem concluídos, apesar de já terem sido notificados a retomar as obras remanescentes. Como providência para a retomada da obra, a prefeitura está em processo de levantamento dos serviços remanescentes para a realização de novo processo licitatório e conclusão da obra. </t>
  </si>
  <si>
    <t xml:space="preserve">Obra paralisada por falta de comprovação do andamento. </t>
  </si>
  <si>
    <t xml:space="preserve">Há pouco houve a integralização da 1ª Liberação de recrusos financeiros desse convênio por parte do orgão concendente. diante disso, a prefeitura solicitou à emrpesa a apresentação do levantamento topográfico para elaboração das ordens de serviços de projeto (itens de planilha orçamentária). Esse processo está em fase de análise dos dados recebidos. </t>
  </si>
  <si>
    <t xml:space="preserve">O setor de prestação de contas da prefeitura, está juntando a documentação para a apresentação de prestação de contas desse convênio. </t>
  </si>
  <si>
    <t>Não há nenhum pagamento referente a essa obra no TOME CONTA, classificada como Paralisada.</t>
  </si>
  <si>
    <t xml:space="preserve">Durante a execução das obras existe uma dificuldade no repasse de verbas por parte do FNDE, onde a obra é realizada por etapas e em seguida é realizado o pedido de desmebolso, que passa 30,60 ou até 90 dias para que aconteça o repasse das verbas, atrasando o andamento das mesmas. As obras apresentam execução conforme os seguintes percentuais: Escola Mulungu 96% executada; Escola Suturno 53% executada; Escola Varzinha 99% executada. </t>
  </si>
  <si>
    <t xml:space="preserve">Prefeitura ainda em processo de licitação para a conclusão da obra. Como diz no ofício :Obra paralisada. </t>
  </si>
  <si>
    <t xml:space="preserve">Através do decreto nº11, de 09 de abril de 2018, o contrato com a empresa Capa Construções, Eventos e Empreendimentos LTDA - ME foi rescindido, uma vez que esta abandonou os serviços contratados sem que esses fossem concluídos, apesar de já terem sido notificados a retomar as obras remanescentes. Após resultado do processo licitatório serão realizados os trâmites para contratação da empresa e conclusão dos serviços. </t>
  </si>
  <si>
    <t xml:space="preserve">Através do decreto nº10, de 09 de abril de 2018, o contrato com a empresa Capa Construções, Eventos e Empreendimentos LTDA - ME foi rescindido, uma vez que esta abandonou os serviços contratados sem que esses fossem concluídos, apesar de já terem sido notificados a retomar as obras remanescentes. Após resultado do processo licitatório serão realizados os trâmites para contratação da empresa e conclusão dos serviços. </t>
  </si>
  <si>
    <t>212/2018</t>
  </si>
  <si>
    <t>53705/18</t>
  </si>
  <si>
    <t>O orgão não enviou comprovantes da situação atual da obra em sua justificativa.</t>
  </si>
  <si>
    <t>Recisão de Contrato</t>
  </si>
  <si>
    <t xml:space="preserve">Rescisão de Contrato </t>
  </si>
  <si>
    <t>Obra Judicializada</t>
  </si>
  <si>
    <t>217/2018</t>
  </si>
  <si>
    <t>55796/18</t>
  </si>
  <si>
    <t xml:space="preserve">No mapa de obras de 2015 enviado anexado, os pagamentos final da obra e o contratado diferem de um valor significativo. Embora a obra esteja concluída, será classificada como paralisada até maiores esclarecimentos sobre a diferença dos valores. </t>
  </si>
  <si>
    <t>Obra concluída em Janeiro/2015</t>
  </si>
  <si>
    <t>Obra concluída em Maio/2015</t>
  </si>
  <si>
    <t>Obra concluída em Junho/2015</t>
  </si>
  <si>
    <t>Obra concluída em Março/2015</t>
  </si>
  <si>
    <t>507/2018</t>
  </si>
  <si>
    <t>216/2018</t>
  </si>
  <si>
    <t>57817/18</t>
  </si>
  <si>
    <t xml:space="preserve">No TOME CONTA consultado em 23/11/2018, não há qualquer pagamento referente a essa obra. Inacabada. </t>
  </si>
  <si>
    <t xml:space="preserve">Obra paralisada como próprio ofício diz. </t>
  </si>
  <si>
    <t xml:space="preserve">Houve rescisão de contrato desta empresa e posteriomente uma nova licitação, no momento a obra está paralisada tendo em vista que o projeto em reprogramação na caixa com pendências de engenharia, com prazo de atendimento em 19/11/2018. </t>
  </si>
  <si>
    <t>No TOME CONTA, consultado dia 23/11/2018, não há pagamentos referentes a essa obra. Inacabada.</t>
  </si>
  <si>
    <t xml:space="preserve">No TOME CONTA, consultado no dia 26/11/2018, não há qualquer pagamento referente a essa aquisição. </t>
  </si>
  <si>
    <t xml:space="preserve">No TOME CONTA, consultado no dia 26/11/2018, não há qualquer pagamento referente a essa obra. </t>
  </si>
  <si>
    <t xml:space="preserve">Paralisada, como próprio ofício diz. </t>
  </si>
  <si>
    <t xml:space="preserve">Rescisão de contrato, posteriormente foi realizada outra licitação, porém foi paralisada no dia 05/03/2018 para alterações no projeto. </t>
  </si>
  <si>
    <t>596/2018</t>
  </si>
  <si>
    <t>164/2018-GAB/PMB</t>
  </si>
  <si>
    <t>57893/18</t>
  </si>
  <si>
    <t>A administração municipal informou que notificou extrajudicialmente o gestor e empresa contratada e rescindiu o contrato.</t>
  </si>
  <si>
    <t>Obra paralisada em 2016 devido a omissão da gestão anterior em não prorrogar o convênio da referida obra.</t>
  </si>
  <si>
    <t>o município confirmou a paralisação da obra e informou que foi necessário abrir novo procedimento licitatório no intuito de finalizar a obra.</t>
  </si>
  <si>
    <t>A atual gestão municipal, em virtude de irregularidades encontradas nas obras dos postos de saúde, resolveu rescindir o contrato nº 008/2014 e abrir novo procedimento licitatório.</t>
  </si>
  <si>
    <t>o município confirmou a paralisação da obra e informou que será necessário realizar novo procedimento licitatório, mas não mandou documentos que comprovem que há nova licitação em andamento.</t>
  </si>
  <si>
    <t>A atual gestão municipal, em face de encontrar a obra contratada com várias irregularidades e sem ter sido finalizada, notificou a empresa para fins de reinício das obras, porém o representante legal da empresa se negou a assinar a notificação. Diante de tal comportamento o contrato nº 038/2014 também foi rescindido, sendo necessária a abertura de um novo procedimento licitatório.</t>
  </si>
  <si>
    <t>O município confirmou que a obra está paralisada, mas informa que a nova gestão ja tomou medidas para apurar os responsáveis.</t>
  </si>
  <si>
    <t>A gestão informa que este contrato também foi rescindido, em virtude de irregularidades encontradas pelo setor de engenharia municipal. Também foi necessário solicitar abertura de tomada de contas especial, para fins de apuração de todas as condutas ilegais perpetradas pelo ex-gestor municipal. Foi necessário ainda, propor medida judicial, requerendo a suspensão da prestação de contas até o julgamento da tomada de contas.</t>
  </si>
  <si>
    <t>Em ofício, foi mensionado que a obra já foi concluida em 2016, porém não foi apresentado nenhum comprovante para tal afirmativa. Desta maneira a obra continuará identificada como paralisada.</t>
  </si>
  <si>
    <t>Em ofício é informado que a obra já foi concluída em 2016, porém a atual gestão não teve acesso aos empenhos, pagamentos e notas fiscais.</t>
  </si>
  <si>
    <t>Em ofício, foi informado que a empresa não finalisou os respectivos serviços, e que as devidas medidas para rescindir o contrato estão sendo tomadas.</t>
  </si>
  <si>
    <t>A empresa contratada não finalizou os respectivos serviços da obra, tendo a atual gestão expedido uma notificação extrajudicial endereçada a AJA Construtora e Incorporadora Ltda, que não demonstrou interesse em cumprir com as suas responsabilidades contratuais no tocante à finalização da execução do contrato firmado.</t>
  </si>
  <si>
    <t>382/2018</t>
  </si>
  <si>
    <t>56899/18</t>
  </si>
  <si>
    <t xml:space="preserve">Obra Paralisada como prórpio ofício diz. </t>
  </si>
  <si>
    <t xml:space="preserve">Paralisada. Obras em procedimento judicial, onde o município de Brejo da Madre de Deus solicita a liberaçõa dos valores do Convênio Original nº 701810/2010 pelo Ministéiro da Educação, para que o Município possa concluir a obra pacutada. </t>
  </si>
  <si>
    <t>O orgão não enviou documento comprobatório, apesar de no TOME CONTA, apresentar pagamentos no exercício de 2018 para a empresa contratada. Continua como paralisada</t>
  </si>
  <si>
    <t>Em andamento. A empresa Arraial Construções foi distratada, e houve um novo processo licitatório onde foi contratado uma nova empresa para execução da obra - ROMA CONSTRUÇÃO  E MANUTENÇÃO EIRELLI EPP - valor R$ 743.928,41</t>
  </si>
  <si>
    <t>O orgão não apresentou as informações da nova empresa, assim não há como verificar a vericidade da conclusão pelo TOME CONTA. Continua como paralisada.</t>
  </si>
  <si>
    <t xml:space="preserve">A empresa Cedro Engenharia LTDA, foi distratada, sendo contratada uma nova empresa que finalizou a obra. </t>
  </si>
  <si>
    <t xml:space="preserve">Contrato distratado, porém a obra continua inacabada. </t>
  </si>
  <si>
    <t xml:space="preserve">Recurso do próprio município - obra cancelada por falta de recurso, foi executda a primeira parte da obra que foi a construção de banheiros para o público, sendo distratada o restante das obras. O município está buscando recursos financeiros para que possa prosseguir com uma nova contratação e finalização do projeto originalmente iniciado. </t>
  </si>
  <si>
    <t xml:space="preserve">Recurso do próprio município - obra cancelada por falta de recurso, foi executada a primeira parte da obra, sendo distratada o restante da obra. O município está buscando recursos financeiros oara que possa prosseguir com uma nova contratação e finalização do projeto originalmente iniciado. </t>
  </si>
  <si>
    <t xml:space="preserve">Encontra-se paralisada e distratada com a empres. O O município está buscando recursos financeiros oara que possa prosseguir com uma nova contratação e finalização do projeto originalmente iniciado. </t>
  </si>
  <si>
    <t>54396/18</t>
  </si>
  <si>
    <t xml:space="preserve">O orgão enviou os comprovantes de pagamento, então a obra não está sendo executada. </t>
  </si>
  <si>
    <t xml:space="preserve">Foi solicitado prorrogação de prazo em 30/12/2014, através do Ofício nº 0208/2014, não tendo sido atendida pela FUNASA, ficando impossibilitado sua execução desde o fim da vigência em 03/03/2015. Não havendo possibilidade de execução, foi realizada a prestação de contas do convênio e feito a devolução do recurso em conta. </t>
  </si>
  <si>
    <t xml:space="preserve">A vigência do referido convênio não foi prorrogada, tendo vencido em 05/06/2014. Não havendo a possibilidade de execução, foi realizada a prestação de contas do convênio e feito a devolução do recurso em conta. </t>
  </si>
  <si>
    <t xml:space="preserve">O orgão enviou os comprovantes de devolução e pagamentos. </t>
  </si>
  <si>
    <t xml:space="preserve">A vigência do referido convênio não foi prorrogada, tendo vencido em 30/08/2013. Foi comunicado ao ex-gestor Jonas Camelo de Almeida Neto através do Ofício nº 0792/2014/SR Centro Oeste de PE, que as pendências não foram sanadas, bem como que a vigência havia expirado e não haveria mais autorização de saque, sendo instaurado Tomada de Contas Especial. Em 16/01/2015 o Ministério do Turismo debitou o slado total em conta, deixando a mesma zerada. </t>
  </si>
  <si>
    <t>509/2018</t>
  </si>
  <si>
    <t>267/2018</t>
  </si>
  <si>
    <t>56060/18</t>
  </si>
  <si>
    <t xml:space="preserve">O orgão declara a obra em andamento porém não anexa nenhuma documentação comprobatória. Continua como paralisada. </t>
  </si>
  <si>
    <t xml:space="preserve">Obra em andamento,em processo de aprovação das medições de liberação  dos pagamentos, relativamente, lentos. </t>
  </si>
  <si>
    <t xml:space="preserve">Obra em processo de reprogramação. Paralisada. </t>
  </si>
  <si>
    <t>Obra em andamento, em processo de reprogramação aporvada pela CEF em 14/08/2018</t>
  </si>
  <si>
    <t>No TOME CONTA, consultado em 20/11/2018, o valor pago em 2018 não corresponde a 15% do valor restante da obra, assim a obra continua paralisada.</t>
  </si>
  <si>
    <t xml:space="preserve">Obra em andamento. Estava sendo executada com recursos próprios devido a indisponibilidade de orçamento em 2017. Em 2018, foram disponibilizados recursos orçamentários para retomada das obras. </t>
  </si>
  <si>
    <t xml:space="preserve">Obra paralisada em razão do atraso de recursos orçamentários. </t>
  </si>
  <si>
    <t xml:space="preserve">Obra paralisada por ausência e/ou atrasos na liberação de créditos pelo concendente Ministério do Turismo. </t>
  </si>
  <si>
    <t xml:space="preserve">Como próprio ofício diz, Obra Paralisada. </t>
  </si>
  <si>
    <t xml:space="preserve">O orgão declara a obra como concluída porém não anexa nenhuma documentação comprobatória. Continua como paralisada. </t>
  </si>
  <si>
    <t xml:space="preserve">Obra Paralisada. Em 2017, não foram liberados créditos pelo concedente Ministério das Cidades. Em 2017, Registre-se a falta de Ressarcimento pelo Ministério do valor aproximado R$ 465 mil antecipado pela prefeitura nos anos anteriores. </t>
  </si>
  <si>
    <t xml:space="preserve">Conforme registrado no TOME CONTA, consultado dia 20/11/2018, o valor pago da obra não chega a 15% do valor total a ser pago ainda, então a obra ainda continua como paralisada. </t>
  </si>
  <si>
    <t>Obra em andamento. Foram neceassárias Reprogramações junto à CEF.</t>
  </si>
  <si>
    <t xml:space="preserve">Obra concluída em 2018 com recursos próprios. </t>
  </si>
  <si>
    <t xml:space="preserve">Obra concluída porém como o relatório final não foi concluído, continua como paralisada. </t>
  </si>
  <si>
    <t xml:space="preserve">Obra concluída, aguardando relatório final da CEF para encerramento do convênio. </t>
  </si>
  <si>
    <t xml:space="preserve">O orgão declara a obra como concluída porém não anexa nenhuma documentação comprobatóira. Continua como paralisada. </t>
  </si>
  <si>
    <t xml:space="preserve">Obra concluida.Houve ausência e/ou atrasos na liberação do crédito do Ministério dos Esportes, porém em julho de 2017, ocorreu apenas a liberaração de R$ 69.359,75 pelo Ministério. </t>
  </si>
  <si>
    <t xml:space="preserve">Obra concluída em 2018 com recursos próprios, aguardando ressarcimento. </t>
  </si>
  <si>
    <t xml:space="preserve">Obra paralisada, em situação de análise para providências para conclusão do assunto. </t>
  </si>
  <si>
    <t xml:space="preserve">Contrato com a Geossistemas encerrado. Em análise junto à CEF para providências para a conclusão do assunto. </t>
  </si>
  <si>
    <t xml:space="preserve">O orgão declara a obra como concluída porém não anexa nenhuma documentação comprobatória e no TOME CONTA, consultado em 20/11/2018, não foi identificado nenhum pagamento referente a essa obra. Continua como paralisada. </t>
  </si>
  <si>
    <t>Obra concluída na gestão anterior, medições documentadas e enviadas ao TCE em 2018.</t>
  </si>
  <si>
    <t xml:space="preserve">Foi identificado no TOME CONTA, um pagamento referente a essa obra de 177.642,78. Porém, como o município não deu informações sobre o valor contratado, nã há como saber se a obra foi devidamente concluída e paga, continuando como Paralisada. </t>
  </si>
  <si>
    <t xml:space="preserve">Obra concluída na gestão passada. </t>
  </si>
  <si>
    <t>189/2018</t>
  </si>
  <si>
    <t>54708/18</t>
  </si>
  <si>
    <t xml:space="preserve">Não há comprovação do andamento da obra, continua como paralisada. </t>
  </si>
  <si>
    <t xml:space="preserve">Houve diminuição no ritmo da obra, haja visto a lentidão por parte do FNDE no repasse de recursos, apesar de a municipalidade está quite com todas as exigências para liberação de tais recursos, vale salientar que a obra agora está em ritmo normal. </t>
  </si>
  <si>
    <t xml:space="preserve">Não há comprovação da conclusão da obra, continua como paralisada. </t>
  </si>
  <si>
    <t xml:space="preserve">Houve diminuição do ritmo da obra, na época a empresa alegou dificuldade de mão de obra, haja visto que a obra estava em fase de acabamento, as providências tomadas pela municipalidade foi solicitar à construtora que sanasse a dificuldade apontada, vale salientar que a referida obra já está concluída e o prédio em pleno funcionamento. </t>
  </si>
  <si>
    <t>599/2018</t>
  </si>
  <si>
    <t>183/2018</t>
  </si>
  <si>
    <t>55968/18</t>
  </si>
  <si>
    <t xml:space="preserve">O orgão enviou documentação da obra, porém ela encontra-se paralisada no momento, aguardando liberação de recursos para continuidade. </t>
  </si>
  <si>
    <t xml:space="preserve">A presente obra encontra-se em processod e auditoria pela inspetoria de obras do Tribunal de Contas de Arcoverde. A obra encontra-se em processo de liberação de recurso para sua continuidade. </t>
  </si>
  <si>
    <t xml:space="preserve">Como próprio ofício aponta, obra inacabada por falta de recurso. </t>
  </si>
  <si>
    <t xml:space="preserve">A presente obra encontra-se em processo de auditoria pela inspetoria de obras do Tribunal de Contas de Arcoverde. A situação da obra é inacabada, no entanto, por falta de recurso não houve continuidade deste projeto e visto também já existir um sistema antigo de abastecimento que momentaneamente vem suprindo a necessidade da população residente nesse sítio. </t>
  </si>
  <si>
    <t xml:space="preserve">O orgão enviou documentação da obra, porém ela encontra-se paralisada no momento, aguardando a finalização do processo de auditoria pela inspetoria do Tribunal de Contas em Arcoverde. </t>
  </si>
  <si>
    <t xml:space="preserve">A presente obra encontra-se em processo de auditoria pela inspetoria de obras do Tribunal de Contas de Arcoverde. </t>
  </si>
  <si>
    <t>107/2018</t>
  </si>
  <si>
    <t>55013/18</t>
  </si>
  <si>
    <t xml:space="preserve">O orgão envia a obra em seu Mapa de Obras, porém responde que a obra nao lhe diz respeito e não apresenta qualquer justificativa sobre o questionamento.  Assim, a obra continua como paralisada. </t>
  </si>
  <si>
    <t xml:space="preserve">No que diz respeito à Iluminação da Quadra de Nazaré e do Estádio de Futebol Luiz Alexandre, não é mais de responsabilidade desta Fundação de Cultura. Sendo de responsabilidade, agora, da Secretaria de Esportes de Camaragobe, devendo, portanto, ser endereçado tal ofício para o Secretário Abnael Bernardes. </t>
  </si>
  <si>
    <t>514/2018</t>
  </si>
  <si>
    <t>083/2018</t>
  </si>
  <si>
    <t>56713/18</t>
  </si>
  <si>
    <t xml:space="preserve">No TomeConta em 26/11/2018 consta apenas um pagamento de R$ 19.126,19 em 2015. </t>
  </si>
  <si>
    <t>Em virtude de vários fatores e porque o Estado de Pernambuco não vem transferindo os recursos conforme o cronograma, a execução da obra está atrasada.</t>
  </si>
  <si>
    <t>515/2018</t>
  </si>
  <si>
    <t>786/2018</t>
  </si>
  <si>
    <t>55122/18</t>
  </si>
  <si>
    <t>Houve distrato, mas não houve nova licitação, assim a obra continua paralisada.</t>
  </si>
  <si>
    <t xml:space="preserve">Após a análise do projeto e em vistoria nas ruas que foram pavimentadas com recursos provenientes do Ministério das Cidades, os serviços contratados estão com 80% concluídos, aguardando apenas a construção de calçadas nas referidas ruas. Contudo, no dia  21 de setembro de 2018 a empresa J. ANCHIETA SILVA CONSTRUÇÕES LTDA solicitou da prefeitura o distrato do contrato por motivos de problemas finaceiros que a estavam impedindo de regularizar suas certidões. Desta forma, a prefeiturade Carnaíba ficou impossibilitada de renovar o contrato e acatou a solicitação da empresa e aguarda o parecer da Caixa econômica Federal para solicitar nova licitação com os serviços restantes para a conclusão da obra. </t>
  </si>
  <si>
    <t>517/2018</t>
  </si>
  <si>
    <t>SEURB/2033/2018</t>
  </si>
  <si>
    <t>57541/2018</t>
  </si>
  <si>
    <t>PARALISADO AGUARDANDO O PEDIDO DE REPROGRAMAÇÃO DA CAIXA ECONÔMICA FEDERAL CONTRATO DE REPASSE 1004734-63/2013 CONVÊNIO 784169/2013</t>
  </si>
  <si>
    <t>518/2018</t>
  </si>
  <si>
    <t>56642/18</t>
  </si>
  <si>
    <t>No TOME CONTA, consultado em 23/11/2018, não há registro de pagamento referente a essa obra. Inacabada.</t>
  </si>
  <si>
    <t xml:space="preserve">A empresa PROEX CONSTRUÇÃO E SERVIÇOS EIRELI - EPP , não concluiu os serviços da construção da mesma. A empresa MARCIEL BARBOSA DE SALES CONSTRUTORA - ME segue dando andamento aos serviços da referida quadra. </t>
  </si>
  <si>
    <t xml:space="preserve">No TOME CONTA, consultado em 23/11/2018, há pagamentos referentes à obra em 2014 e 2013, porém como o orgão não declarou o valor do contrato, não há como confirmar a conclusão. Inacabada. </t>
  </si>
  <si>
    <t xml:space="preserve">No TOME CONTA, consultado em 23/11/2018, há pagamentos referentes à obra em 2016, porém como o orgão não declarou o valor do contrato, não há como confirmar a conclusão. Inacabada. </t>
  </si>
  <si>
    <t>No TOME CONTA, consultado em 23/11/2018, há pagamentos referentes à obra em 2016, o orgão não declarou o valor do contrato, porém o valor declarado do pagamento se confirma. Inacabada.</t>
  </si>
  <si>
    <t>521/2018</t>
  </si>
  <si>
    <t>020/2018</t>
  </si>
  <si>
    <t>58317/18</t>
  </si>
  <si>
    <t xml:space="preserve">Como próprio ofício aponta, a obra encontra-se paralisada. </t>
  </si>
  <si>
    <t xml:space="preserve">Em relação à obra supracitada a mesma segue parada, o município apresentou junto ao ministério público as irregularidades na construção do objeto que foram verificadas pela CGU, uma vez que o percentual dos serviços pagos, não representava o executado in loco. </t>
  </si>
  <si>
    <t xml:space="preserve">Não foi encontrado no TOME CONTA, dia 23/11/2018, pagamento referente a essa obra. Inacabada. </t>
  </si>
  <si>
    <t xml:space="preserve">A obra foi concluída com seus pagamentos dentro da normalidade. </t>
  </si>
  <si>
    <t xml:space="preserve">De acordo com o TOME CONTA, dia 23/11/2018, o valor pago não confirma a conclusão da obra, por ser de apenas 171.261,27, enquanto que o valor total do contrato era de 281677,55. </t>
  </si>
  <si>
    <t xml:space="preserve">A obra ainda encontra-se paralisada, ocorreu um atraso quanto ao repasse da 2ª parcela para continuidade do objeto, entretanto quando o recurso foi creditado, a empresa responsável pela execução não retornou às atividades. A secretaria de infraestrutura notificou a construtora e em resposta foi acordado o reinício das obras. </t>
  </si>
  <si>
    <t>De acordo com o TOME CONTA, dia 23/11/2018, o valor pago não confirma a conclusão da obra.</t>
  </si>
  <si>
    <t>522/2018</t>
  </si>
  <si>
    <t>299/2018</t>
  </si>
  <si>
    <t>58601/18</t>
  </si>
  <si>
    <t>Obra paralisada, como confirmado na resposta enviada pelo município.</t>
  </si>
  <si>
    <t>Em ofício de resposta, foi informado que a obra se encontra paralisada aguardando a convalidação do convênio.</t>
  </si>
  <si>
    <t>obra considerada paralisada, em função da falta de pagamentos  no TOME CONTAS. acessado em 29/11/2018.</t>
  </si>
  <si>
    <t>Em ofício de resposta, foi informado que a obra encontra-se em andamento; aguardando liberação do recurso financeiro do órgão conveniente FNDE.</t>
  </si>
  <si>
    <t>obra considerada paralisada, em função de pagamento irrisório declarado no TOME CONTAS. Acesso em 29/11/2018</t>
  </si>
  <si>
    <t>Em ofício de resposta, foi informado que estão aguardando liberação do recurso financeiro do órgão coveniente FNDE.</t>
  </si>
  <si>
    <t>obra foi relicitada em 2017  (TP 001/2017) e está paralisada devido pagamento irrisório.</t>
  </si>
  <si>
    <t>Em ofício de resposta foi informado que o contrato inicial foi "residido" e posteriormente foi licitado com a modalidade TP 01/2017.</t>
  </si>
  <si>
    <t>Em ofício de resposta foi informado que a construção de 202 privadas higiênicas no Município, constando como paralisada, foi constatada irregularidade na execução pelo órgão concedente. Tendo o município notificadoà empresa responsável pela execução por duas vezes e a mesma não se manifestou.</t>
  </si>
  <si>
    <t>O ofício apresentado não trouxe referência à nova empresa contratada, desta forma não foi possível conferir o status de pagamento para a mesma no TOME CONTAS.</t>
  </si>
  <si>
    <t>Em ofício de resposta foi informado que,  o contrato com a empresa inicial foi rescindido e a obra se encontra em fase de conclusão com a nova empresa licitada.</t>
  </si>
  <si>
    <t>523/2018</t>
  </si>
  <si>
    <t>53/2018</t>
  </si>
  <si>
    <t>55861/18</t>
  </si>
  <si>
    <t>Como os repasses ainda não foram realizados e novos pagamentos não foram feitos, a obra se encontra paralisada no presente momento</t>
  </si>
  <si>
    <t>A empresa contratada foi notificada por serviços más executados ou com sua execução não aprovada pela fiscalização municipal. Os reparos foram iniciados mas ainda não tiveram sua execução concluídas. O último repasse do órgão concedente foi realizado no ano de 2016. A prefeitura está aguardando a realização de novos repasses para dar andamento a obra</t>
  </si>
  <si>
    <t>No Tome Conta há registrado apenas uma parte do pagamento, e pela própria admissão do município, a obra se encontra paralisada</t>
  </si>
  <si>
    <t>O convênio com o FNDE teve seu prazo expirado em 30/06/2018 e o município protocolou uma nova Pactuação que está em fase de análise para que posteriormente à aprovação do mesmo, a obra tenha sua execução reiniciada.</t>
  </si>
  <si>
    <t>Obra paralisada devido ao não repasse de verbas pelo FNDE</t>
  </si>
  <si>
    <t>A obra encontra-se em fase final de conclusão e está aguardando repasses do governo federal, através do FNDE para a posterior conclusão da mesma. No ano de 2017 só houve um repasse de RS 15297,65 em 29/08/2017, sendo o repasse anterior a este ocorrido em novembro de 2015. A obra encontra-se com 84,92% dos serviços executados</t>
  </si>
  <si>
    <t>Há apenas um pagamento no valor de 117338 reais no Tome Conta, sendo o último referente ao ano de 2017. impossível conferir qualquer pagamento posterior a essa data</t>
  </si>
  <si>
    <t>A obra encontra-se em fase final de conclusão, com os serviços sendo finalizados em breve. A obra encontra-se com 97,88% dos serviços executados.</t>
  </si>
  <si>
    <t>603/2018</t>
  </si>
  <si>
    <t>55984/18</t>
  </si>
  <si>
    <t xml:space="preserve">Obra em aguardo do repasse de verba. Paralisada. </t>
  </si>
  <si>
    <t xml:space="preserve">O contrato foi rescindido no dia 20 de julho de 2017, onde foi realizado uma nova licitação para ser dado continuidade aos serviços remanescentes de obra. A vencedora foi a CONSTRUTORA BG EIRELI EPP, NO VLAOR DE R$ 126.406,07  e informamos que não foi feito nenhum pagamento para a empresa devido a problemas de repasse junto ao Ministério de Educação, uma vez que tal obra está cadastrada no ministério segundo o ID 18746; </t>
  </si>
  <si>
    <t xml:space="preserve">Obra em situação de elaboração de relatório de prestação de contas, embora concluída. Inacabada. </t>
  </si>
  <si>
    <t xml:space="preserve">A obra foi finalizada e atingiu a sua funcionalidade, conforme convênio 334.692-27 firmado entre a Prefeitura Municipal de Cumaru e o Ministério do Turismo. E está sendo elaborada a sua respectiva prestação de contas e apresentação na GiGOV - Caruaru; </t>
  </si>
  <si>
    <t xml:space="preserve">Como o próprio ofício diz, não há documentação referente ao andamento da obra. Paralisada. </t>
  </si>
  <si>
    <t xml:space="preserve">Informamos que não foram encontrados elementos suficientes para que seja dado posicionamento concreto a respeito dessa obra, onde não foi encontrado  pasta de obras, registros fotográficos da execução de serviços, boletins de medição ou qualquer outro elemento que forneça subsídio do andamento de serviços. </t>
  </si>
  <si>
    <t>604/2018</t>
  </si>
  <si>
    <t>093/2018</t>
  </si>
  <si>
    <t>57557/18</t>
  </si>
  <si>
    <t xml:space="preserve">No TOME CONTA, consultado em 23/11/2018, verifica-se um pagamento irrisório da obra. </t>
  </si>
  <si>
    <t>Obra concluída, relatório enviado no acumulado de 2016, foi retificado.</t>
  </si>
  <si>
    <t xml:space="preserve">Obra inacabada pela expiração do contrato. </t>
  </si>
  <si>
    <t xml:space="preserve">O contrato expirou e, de acordo com o relatório, foi pago apenas parte do valor contratado, conforme executado e medido. </t>
  </si>
  <si>
    <t>525/2018</t>
  </si>
  <si>
    <t>348/2018</t>
  </si>
  <si>
    <t>55775/18</t>
  </si>
  <si>
    <t xml:space="preserve">No mapa de obras atualizado enviado, não há qualquer descrição do valor pago na obra, bem como no TOME CONTA. </t>
  </si>
  <si>
    <t xml:space="preserve">Obra concluída, como mostra o Mapa de Obras atualizado. </t>
  </si>
  <si>
    <t xml:space="preserve">Não foi enviada nenhuma comprovação da rescisão do contrato. </t>
  </si>
  <si>
    <t xml:space="preserve">O contrato foi rescindido. </t>
  </si>
  <si>
    <t>Empresa contratada não aparece no TOME CONTA, assim não há como conferir os valores apresentados pelo município. Obra paralisada.</t>
  </si>
  <si>
    <t xml:space="preserve">Paralisada, como diz o mapa de obras atualizado. </t>
  </si>
  <si>
    <t>Paralisada, como diz o mapa de obras atualizado.</t>
  </si>
  <si>
    <t>526/2018</t>
  </si>
  <si>
    <t>061/2018</t>
  </si>
  <si>
    <t>56315/18</t>
  </si>
  <si>
    <t>O orgão diz que a obra foi concluída mas não apresenta nenhuma comprovação de conclusão.</t>
  </si>
  <si>
    <t xml:space="preserve">Venho esclarecer que o mapa de obras da Câmara Municipal de Orobó/PE, exercício 2017, foi informado na prestação de contas do exercício, constando na coluna do mapa "SITUAÇÃO" que a obra foi concluída, e o valor pago foi de R$ 110.398,38. </t>
  </si>
  <si>
    <t>57145/18</t>
  </si>
  <si>
    <t>Como o próprio ofício diz, a obra atualmente encontra-se paralisada;.</t>
  </si>
  <si>
    <t xml:space="preserve">Atualmente a obra está paralisada, aguardando a liberação do recurso pelo FNS, ressaltando que houve o abandono da obra por parte da empresa, o que fez a Prefeitura rescindir o contrato e realizar um novo processo licitatório, onde já houve a finalização do processo e a escolha da nova empresa para continuação da obra. </t>
  </si>
  <si>
    <t xml:space="preserve">A obra está paralisada atualmente, pois está em processo licitatório para a escolha de uma nova empresa para a conclusão, devido ao abandono da obra por parte da empresa Proquality Engenharia LTDA, o que levou a Administração Pública a rescindir o contrato e realizar novo processo licitatório. </t>
  </si>
  <si>
    <t>270/2018</t>
  </si>
  <si>
    <t>61422/18</t>
  </si>
  <si>
    <t>Em 07/12/2018, no TomeConta há um pagamento de R$ 251.772,25 em 2012.</t>
  </si>
  <si>
    <t>Ficou parallisada desde a época em que forma detectadas irregularidades pela gestão da ex-prefeita.</t>
  </si>
  <si>
    <t>528/2018</t>
  </si>
  <si>
    <t>163/2018</t>
  </si>
  <si>
    <t>59569/18</t>
  </si>
  <si>
    <t>Foi verificado no Tome Conta um pagamento da ordem de 28.132,13 reais, que representa um valor muito pequeno se comparado ao valor total da obra. Vale ressaltar que o pagamento aconteceu após a notificação do município à empresa contratada, para que esta retomasse as obras. Mesmo assim, como o pagamento registrado possui um valor muito baixo, consideraremos a obra paralisada.</t>
  </si>
  <si>
    <t>Obra em andamento com 70,45% concluído. O município emitiu uma notificação extrajudicial à empresa Praxedes LTDA-EPP. Em fevereiro de 2017 produziram um ofício onde ressaltaram a necessidade de correção quanto aos serviços de pintura metálica de acordo comk o memorial descritivo e especificações do projeto arquitetônico, fornecido pelo FNDE, e em 2018 cobraram, via notificação, datada de 11 de janeiro de 2018, o recomeço urgente da referida obra.</t>
  </si>
  <si>
    <t>Constatamos no Tome Conta que o valor total do contrato não foi pago, por este motivo não podemos considerar a obra concluída.</t>
  </si>
  <si>
    <t>A prefeitura não informou quais medidas pretendia tomar em relação à obra, apresentando apenas em anexo a confirmação do distrato com a empresa Ativa LTDA, de maneira que consideraremos a obra paralisada.</t>
  </si>
  <si>
    <t>Obra distratada, devido à falta de demanda para construção e/ou manutenção dos esgotos públicos municipais, não sendo executada através deste processo licitatório</t>
  </si>
  <si>
    <t>O município enviou uma cópia da ação civil pública por ato de improbidade admnistrativa, em que pede o total ressarcimento dos recursos gastos. Desta maneira, concluímos que a obra se encontra paralisada enquanto a ação é julgada.</t>
  </si>
  <si>
    <t>A obra se encontra com ação judicial. Ato de improbidade administrativa formulado pelo município em face da ex-prefeita e da empresa Praxedes LTDA por diversas irregularidades. O município pede ressarcimento dos recursos, para que estes sejam utilizados para a reparação dos danos causados a entidade pública lesada.</t>
  </si>
  <si>
    <t>529/2018</t>
  </si>
  <si>
    <t>401/2018</t>
  </si>
  <si>
    <t>59050/18</t>
  </si>
  <si>
    <t>No TomeConta, em 29/11/2018, conta pagamento de R$ 383.472,29.</t>
  </si>
  <si>
    <t>A empresa alega dificuldade financeira, solicitando a prefeitura o pagamento de termos aditivos atrasados para a sua conclusão. O distrato não é viável pois há serviços que dever ser refeitos pela empresa.</t>
  </si>
  <si>
    <t>Não há pagamentos no TomeConta.</t>
  </si>
  <si>
    <t>Obra não iniciada. Realizado o distrato com a empresa. Em fase de relicitação e terreno em desaprorpiação.</t>
  </si>
  <si>
    <t>Obra não iniciada. Necessário finalização do FEM 2 para a liberação pelo estado do FEM 3.</t>
  </si>
  <si>
    <t xml:space="preserve">Obra não iniciada. FUNASA disse existir pendencias. Sanamos o que existia e estamos aguardando retorno. </t>
  </si>
  <si>
    <t>Consta um pagamento de R$ 585,00 em 2013 no TomeConta, visto  em 29/11/2018.</t>
  </si>
  <si>
    <t xml:space="preserve">Pediu dilação de prazo para a apuração da situação. </t>
  </si>
  <si>
    <t>FUNASA disse existir pendencias. Sanamos o que existia e estamos aguardando retorno.</t>
  </si>
  <si>
    <t>Necessário finalização do FEM 2 para liberação pelo estado do FEM 3.</t>
  </si>
  <si>
    <t>Consta um pagamento de R$ 1.506,75 em 2013 no TomeConta, visto  em 29/11/2018.</t>
  </si>
  <si>
    <t>Em 30/11/2018 no TomeConta há um pagamento de R$ 138.496,40 em 2014.</t>
  </si>
  <si>
    <t>530/2018</t>
  </si>
  <si>
    <t>210/2018</t>
  </si>
  <si>
    <t>56295/18</t>
  </si>
  <si>
    <t>Duas obras paralisadas e uma declarada concluída porém sem as devidas comprovações.</t>
  </si>
  <si>
    <t xml:space="preserve">A UBS na Sede do Município encontra-se em funcionamento, tendo em vista que foi declarada concluída pela gestão anterior, embora tenham sido detectadas necessidades de complementação da obra. Na segunda UBS, localizada no Distrito de Juá do Manso, foram detectados problemas no equilíbrio dio cronograma físico-financeiro da obra, bem como na terceira UBS, localizada no Sítio Serra da Onça. </t>
  </si>
  <si>
    <t xml:space="preserve">No TOME CONTA, consultado dia 23/11/2018,  a obra já consta com todo o valor contratado pago, porém o município diz que ela ainda encontra-se em andamento. Inacabada. </t>
  </si>
  <si>
    <t xml:space="preserve">Esta obra foi encontrada com desequilíbrio físico financeiro, porém a construtora foi chamada a corrigir o erro e o mesmo foi sanado. Ante o exposto, a obra foi retomada e está em andamento, conforme informado no mapa de obras de julho a setembro do corrente ano. </t>
  </si>
  <si>
    <t xml:space="preserve">No TOME CONTA, consultado dia 23/11/2018, não consta nenhum pagamento referente a essa obra. </t>
  </si>
  <si>
    <t xml:space="preserve">As obras, devido à necessidade, passaram por auditoria municipal e posteriomente foram retomadas, teno seus pagamentos realizados e partes importantes dos serviços concluídos. A UBS de Capivara teve seus serviços concluídos pela gestão anterior e encontra-se em funcionamento, bem como a UBS de Lagoa de João Carlos. A UBS de Patos teve seus serviços retomados na atual gestão e encontra-se em fase de conclusão. A UBS da sede teve seu contrato quebrado por abandono da empresa; atualmente a obra aguarda novo porjeto e engenharia para que seja feita uma nova licitação para término do serviço. </t>
  </si>
  <si>
    <t xml:space="preserve">No início da gestão, devido à necessidade, as obras tiveram de ser auditadas pela prefeitura. Após o devido procedimento, foram retomadas e se encontram em fase de conclusão. </t>
  </si>
  <si>
    <t xml:space="preserve">No TOME CONTA, consultado dia 23/11/2018, consta um pagamento, porém é irrisório. </t>
  </si>
  <si>
    <t xml:space="preserve">A obra foi paralisada sendo realizado o encerramento do contrato com a empresa vencedora do processo licitatório, uma vez que o sócio administrador faleceu, ficando a empresa sem condições de dar andamento ao contrato.Após análise foi realizado novo processp licitatório para conclusão da obra, estando a mesma em fase de conclusão. Nenhum pagamento foi realizaddo após o novo processo licitatório, embora a obra já esteja em fase final. </t>
  </si>
  <si>
    <t xml:space="preserve">Obra paralisada por falta de recursos. </t>
  </si>
  <si>
    <t xml:space="preserve">Este serviço está dependendo da remessa de recursos financeiros por parte da SUDENE. Foi enviado um Ofício Nº 140/2017, em 20/06/2017, solicitando recursos e até a presente data, está sem resposta. </t>
  </si>
  <si>
    <t xml:space="preserve">Devido à falta de recursos próprios, ficamos incapacitados de dar prosseguimento às obras. </t>
  </si>
  <si>
    <t xml:space="preserve">Não há como comprovar a conclusão nem por documentação nem por consulta ao TOME CONTA. </t>
  </si>
  <si>
    <t xml:space="preserve">Obra concluída na gestão anterior. </t>
  </si>
  <si>
    <t>030/2018</t>
  </si>
  <si>
    <t>55015/18</t>
  </si>
  <si>
    <t xml:space="preserve">O orgão enviou uma cópia da ação encaminhada ao Ministéirio Público, bem como comprovantes da existência de dados da obra, recursos, documentos, restrições e inconformides, porém são prints de telas que não estão legíveis. Como ele próprio diz no ofício, a obra continua paralisada. </t>
  </si>
  <si>
    <t xml:space="preserve">Em relação a construção de uma unidade escolar infantil - tipo B, este controle solicitou à acessora técnica responsável pelo SIMEC as informações enviadas anexadas. Entramos com uma ação no Ministério Público Estadual a fim de instaurar inquérito visando a devida apuração das infrações demonstradas. Obra paralisada, aguardando decisão judicial. </t>
  </si>
  <si>
    <t xml:space="preserve">o orgão enviou comprovantes da ação, do contrato ( onde faltava as primeiras páginas), da ata de habilitação e da ata de julgamento, em favor da empresa Santos &amp; Borba Empreendimentos LTDA. Porém, no TOME CONTA não há cadastro algum dessa empresa, assim a obra continua paralisada. </t>
  </si>
  <si>
    <t xml:space="preserve">Em relação à construção de uma academia de saúde no município de Gameleira, segue anexado empenho global, contrato, bem como ação no Ministério Público Estadual a fim de instaurar inquérito visando a devida apuração das infrações demonstradas. Obra paralisada, aguardando decisão judicial. </t>
  </si>
  <si>
    <t xml:space="preserve">No anexo do SISMOB, não foram encontrados documentos comprobatórios da execução do objeto, devido à mudança de gestão. Meios físicos para que sejam devidamente inseridos no sistema também não foram localizados. Solicitaram mais 365 dias para a realização de novo projeto básico, licitatório e execução do objeto. Assim, a obra continua como paralisada. </t>
  </si>
  <si>
    <t xml:space="preserve">Quanto à construção da unidade de saúde da família da Penha segue em anexo informações obtidas através do SISMOB, bem como justificativa técnica do engenheiro e ação no Ministério Público Estadual a fim de instaurar inquérito visando a devida apuração das infrações demonstradas. Obra paralisada, aguardando decisão judicial. </t>
  </si>
  <si>
    <t xml:space="preserve">Como ele próprio diz no ofício, a obra continua paralisada. </t>
  </si>
  <si>
    <t xml:space="preserve">Quanto à ampliação da unidade de saúde da família de Cuiambuca segue em anexo ação no Ministérop Público Estadual a fim de instaurar inquérito visando a devida apuração das inflações demonstradas. Obra paralisada, aguardando decisão judicial. </t>
  </si>
  <si>
    <t>531/2018</t>
  </si>
  <si>
    <t>0087/2018-CGM [PMG]</t>
  </si>
  <si>
    <t>57654/18</t>
  </si>
  <si>
    <t>como afirmado no ofício de resposta o município perdeu o recurso junto ao ministério dos transportes, portanto a obra é dada como paralisada.</t>
  </si>
  <si>
    <t>Em ofício de resposta foi informado que os serviços objeto do contrato não foram executados em função da perda  do recurso junto ao ministério dos transportes, conforme documentação em anexo.</t>
  </si>
  <si>
    <t>conforme a resposta enviada por ofício o município rescindiu o contrato e está tomando medidas para atualizar os projetos e planilhas de preço, desta forma a obra está paralisada.</t>
  </si>
  <si>
    <t>conforme termos de recebimento definitivo de obras, enviados em anexo, as obras referentes às escolas: Oscar Francisco da Silva, Virgilia Garcia Bessa, Salomão Garcia Bessa, Salomão Rodrigues Vilela e Francisco Albino da Silva foram concluídas e recebidas pela prefeitura. Vale ressaltar que as escolas: Batista da Esperança, Julião Capitó Filho e José Ferreira Sobrinho, também integrantes da concorrência, não constam em nenhum termo de recebimento definitivo de obra. Desta maneira a auditoria não pode considerar que o contrato foi integralmente concluído, ficando a obra como paralisada.</t>
  </si>
  <si>
    <t>Em ofício de resposta foi informado que a Reforma e ampliação das escolas municipais: Oscar Francisco da Silva, Batista da Esperança, Juli]ao capitó Filho, Virgilia Garcia Bessa, José Ferreira Sobrinho, Salomão Rodrigues Vilela, Francisco Albino da Silva, localizadas na Zona Rural, neste Município. Contrato concluído no 4º trimestre do mapa de obras de 2016.</t>
  </si>
  <si>
    <t>O município informa que o contrato com a empresa foi rescindido, porém não faz mensão a nenhuma iniciativa para retomar a obra, o que mantém a mesma na categoria de obra paralisada.</t>
  </si>
  <si>
    <t>Em ofício de resposta é informado que o contrato foi rescindido junto à empresa, inicialmente contratada. Devido à baixa produtividade da empresa e descumprimento do cronograma físico-financeiro.</t>
  </si>
  <si>
    <t>como informado no ofício de resposta o contrato com a empresa foi rescindido e um novo processo licitatório foi deflagrado, mas fracassado. Desta forma a obra continua paralisada.</t>
  </si>
  <si>
    <t>Em ofício de resposta é informado que o contrato foi rescindido junto à empresa e foi deflagrado novo processo licitatório, porém fracassado. Assim, informamos que a equipe técnica do município está tomando as devidas providências para a deflagração de novo processo licitatório.</t>
  </si>
  <si>
    <t xml:space="preserve">como afirmado pelo município a obra teve seu contrato rescindido por recomendações feitas pelo Ministério Público Estadual, porém não é apresentado nenhuma mensão às medidas adotadas para retomada das mesmas. Dessa maneira a auditoria mantém a obra na categoria de inacabada. </t>
  </si>
  <si>
    <t xml:space="preserve"> a paralisação deve-se a recomendações feitas pelo Ministério Público Estadual, através do promotos de justiça Dr. Alexandre Augusto Bezerra.</t>
  </si>
  <si>
    <t>Conforme afirmação do ofício enviado, o contrato com a empresa responsável foi rescindido e um novo processo licitatório ainda está aguardando aprovação do projeto para ser aprovado, logo a obra se encontra paralisada.</t>
  </si>
  <si>
    <t>Em ofício de resposta é informado que O contrato foi rescindido junto à empresa, inicialmente contratada. Informamos que os projetos estão em fase de aprovação na Caixa Econômica Federal, para que seja possível a abertura de novo propcesso licitatório.</t>
  </si>
  <si>
    <t>229/2018</t>
  </si>
  <si>
    <t>55812/18</t>
  </si>
  <si>
    <t xml:space="preserve">Obra paralisada como aponta ofício de resposta. </t>
  </si>
  <si>
    <t xml:space="preserve">A obra teve início durante a gestão anterior, sofreu alguns ajustes  e atualmente estão em análise da Caixa Econômica Federal razão da paralisação temporária da obra. </t>
  </si>
  <si>
    <t>533/2018</t>
  </si>
  <si>
    <t>105/2018</t>
  </si>
  <si>
    <t>55987/18</t>
  </si>
  <si>
    <t>O valor contratado informado pela prefeitura foi de 40.802 reais, tendo sido pago comprovado no Tome Conta 12.832 reais. Como a prefeitura declarou não ter mais informações, a obra será considerada paralisada.</t>
  </si>
  <si>
    <t>A prefeitura informou que, no exercício de 2017, não encontrou restos a pagar para todas as obras, e que a gestão 2013/2016 não repassou as devidas informações sobre a paralisação das mesmas</t>
  </si>
  <si>
    <t>A Prefeitura informou que o valor contratado da obra foi de 505.778,92 reais, sendo que a  razão social que realizou a obra não foi encontrada no Tome Conta, sendo impossível a verificação do pagamento.</t>
  </si>
  <si>
    <t>A Prefeitura não informou o valor contratado, sendo impossível verificar o quanto o pagamento efetuado foi representativo para a execução da obra</t>
  </si>
  <si>
    <t>A Prefeitura informou que o valor contratado foi de 115.200 reais, mas apenas 14.400 reais forampagos, segundo o no Tome Conta. A obra será considerada paralisada.</t>
  </si>
  <si>
    <t>537/2018</t>
  </si>
  <si>
    <t>024/2018</t>
  </si>
  <si>
    <t>62171/18</t>
  </si>
  <si>
    <t>Visto que o processo para nova licitação ainda está em andamento, a obra se encontra, no presente momento, paralisada.</t>
  </si>
  <si>
    <t>O primeiro semestre de 2018 iniciou um processo de distrato, uma vez que a empresa não tinha mais interesse em dar continuidade à prestação do serviço, já que o preço de mercado e o preço licitado continha uma discrepância muito grande, tornando-o inexequível. Com isso, o saldo do contrato está sendo convertido numa adequação do projeto para uma nova licitação, todo este trâmite está sedo acompanhado pela GIGOV.</t>
  </si>
  <si>
    <t>O município não enviou nenhuma documentação comprovando que a obra voltou a estar em execução, de maneira que se continuará a avaliar como paralisada.</t>
  </si>
  <si>
    <t>Esta obra estava de fato, paralisada, onde o representante da empresa alegava impossibilidade de continuar os serviços, mas após reuniões foi acordada a conclusão e a obra está em estágio final, só esperando o processo de desapropriação de um terreno para concluir a Rua Santa Elizabete e, assim, concluir todo o contrato.</t>
  </si>
  <si>
    <t>Não foram encontrados novos pagamentos para a obra no Tome Conta, de maneira que ela será considerada paralisada.</t>
  </si>
  <si>
    <t>Esta obra estava de fato, paralisada, onde o representante da empresa alegava impossibilidade de continuar os serviços, mas após reuniões foi acordada a conclusão e a obra está concluída, atestada pela fiscalização da GIGOV e está em fase de prestação final de contas.</t>
  </si>
  <si>
    <t>Obra paralisada, que será relicitada.</t>
  </si>
  <si>
    <t>Esta obra foi distratada devido ao falecimeto do representante legal da empresa contratada, por isso, reiniciamos o processo de atualização dos projetos e preços para relicitar, uma vez que a empresa contratada foi a única participante do certame.</t>
  </si>
  <si>
    <t>A nota de empenho da obra foi encontrada no Tome Conta, porém sem pagamentos realizados. Desta maneira, a obra será considerada paralisada.</t>
  </si>
  <si>
    <t>Esta obra não está paralisada, devido à necessidade de adequação do projeto precisou-se de um replanilhamento para que fosse possível dar conitnuidade à execução da obra. Este replanilhamento está sendo discutido em todos os pontos relevantes com a GIGOV.</t>
  </si>
  <si>
    <t>Não foi encontrasdo o pagamento completo do contrato, de maneira que a obra será considerada paralisada.</t>
  </si>
  <si>
    <t>Esta obra encontra-se finalizada, conforme mapas de obra anteriores.</t>
  </si>
  <si>
    <t>Não foi possível fazer a verificação da alegação do município, visto que não foram mandados nenhum tipo de comprovação da informação.</t>
  </si>
  <si>
    <t>Esta obra encontra-se finalizada, onde foi executado apenas o meio-fio e a linha d'água, sendo o resto distratado. De todo modo, esta obra encontra-se concluída e informada em mapas de obra anteriroes</t>
  </si>
  <si>
    <t>Não foram encontrados os pagamentos do valor total do contrato, de maneira que a obra será considerada paralisada.</t>
  </si>
  <si>
    <t>Não houveram pagamentos e a obra foi distratada, apesar do munícipio não haver mandado comprovação do fato.</t>
  </si>
  <si>
    <t>Este contrato foi distratado devido a um erro cometido pela equipe técnica, devido ao fato da rua ser conhecida popularmente por dois nomes. A Rua Mirandópolis é a rua em duplicidade, portanto a equipe decidiu pelo distrato desta obra.</t>
  </si>
  <si>
    <t>A obra encontra-se em execução, porém em desconformidade com o cronograma físico-financeiro, uma vez que o lapso temporal entre o ato do desbloqueio do repasse e o pagamento está sendo muito maior do que foi previsto, consequentemente a obra está em passos curtos.</t>
  </si>
  <si>
    <t>538/2018</t>
  </si>
  <si>
    <t>243/2018</t>
  </si>
  <si>
    <t>56289/18</t>
  </si>
  <si>
    <t xml:space="preserve">O orgão declara a obra com em andamento, porém quando se confere com o TOME CONTA, dia 21/11/2018, não há empresa cadastrada com esse nome, impedindo a conferência de valores pagos. </t>
  </si>
  <si>
    <t xml:space="preserve">Obra em andamento com 59,16%, em elaboração do projeto da ponte. </t>
  </si>
  <si>
    <t>330/2018</t>
  </si>
  <si>
    <t>55376/18</t>
  </si>
  <si>
    <t xml:space="preserve">O orgão não enviou nenhum tipo de comprovanete, então obra continua como paralisada. </t>
  </si>
  <si>
    <t>Obra retomada em setembro de 2018</t>
  </si>
  <si>
    <t xml:space="preserve">136/2018  CGM </t>
  </si>
  <si>
    <t>53593/18</t>
  </si>
  <si>
    <t xml:space="preserve">O orgão enviou um atestado de conclusão de serviços, porém não há nada referente ao pagamento dessa obra no TOME CONTA, no período que o orgão declarou que a obra se encerrou. </t>
  </si>
  <si>
    <t xml:space="preserve">Tratava-se de um contrato contínuo com prazo máximo de 60 meses. Tendo sido iniciado no ano de 2011, por decurso do prazo, foi encerrado no exercício financeiro de 2016, conforme comprova o atestado de conclusão se serviços anexo, e, portanto, não foi incluído no Mapa de Obras de 2017. Desta forma, o supracitado contrato não pode ser considerado como obra inacabada, sem pagamento e/ou com pagamento irrisório. </t>
  </si>
  <si>
    <t>Mesmo com a mudança de governo, o contrato vigora, assim o governo deve apresentar os comprovantes de conclusão e/ou inexistência de necessidade da continuação das obras. Não foram apresentados, assim a obra será classificada como "paralisada".</t>
  </si>
  <si>
    <t xml:space="preserve">A atual gestão herdou esse contrato com vigência expirada em 27/04/2017, justificando-se assim o fato de não ter ocorrido pagamentos ou continuidade do mesmo durante o exercício financeiro de 2017. Por fim, justifica-se pela natureza do objeto - recapeamento asfáltico das ruas do município -  que cada rua executada se constitui de uma etapa útil. Assim sendo, uma vez que não existia pendências de execução e pagamento de ruas recapeadas, contrato em tela não deve ser considerado como obra inacabada. </t>
  </si>
  <si>
    <t xml:space="preserve">A atual gestão herdou este contrato com a vigência expirada desde março de 2016. Assim sendo, verifica-se que o mesmo foi encerrado pelo decurso do prazo contratual , motivo pelo qual não houve pagamentos no exercicio financeiro de 2017, justificando sua exclusão do Mapa de Obras Anual de 2017. Por fim, justifica-se pela natureza do objeto - aplicação de revestimento polimérico -  que cada rua executada se constitui de uma etapa útil e, portanto, não deve ser considerado como obra inacabada. </t>
  </si>
  <si>
    <t xml:space="preserve">Como as novas contratações e adequações de projeto ainda não aconteceram, a obra ainda encontra-se paralisada. </t>
  </si>
  <si>
    <t xml:space="preserve">A obra faz parte do convênio firmado entre a Refinaria Abreu e Lima S.A. e a Prefeitura de Ipojuca, que estava paralisada desde 2012 devido a problemas relativos às suas prestações de contas. Quando a gestão atual assumiu, o contrato já estava encerrado por decurso de prazo. O município está providenciando projetos atualizados e adequados à realidade atual, para posterior captação de recursos e novas contratações. </t>
  </si>
  <si>
    <t xml:space="preserve">A atual gestão herdou este contrato encerrado pelo decurso de prazo, tendo em vista que a sua vigência expirou em 20/10/2018, motivo pelo qual não houve continuidade nem pagamentos durante o exercício financeiro de 2017. Por fim, justificamos pela natureza do seu objeto: perfuração de poços tubulares, cada poço perfurado se constitui em uma etapa útil. Portanti, uma vez que não exisita pendências de execução e pagamento dos que foram executados, o contrato em tela não deve ser considerado como obra inacabada. </t>
  </si>
  <si>
    <t xml:space="preserve">O município não  manifestou defesa em relação à obra. </t>
  </si>
  <si>
    <t xml:space="preserve">Contrato encerrado na Gestão anterior pelo decurso do tempo, não prorrogado porque a contratada perdeu as condições de habilitação, apresentando pendências na comporvação de sua regularidade fiscal. </t>
  </si>
  <si>
    <t xml:space="preserve">Contrato encerrado na Gestão anterior pelo decurso do tempo, não prorrogado porque a contratada perdeu as condições de habilitação, apresentando pendências na comprovação de sua regulariade fiscal. </t>
  </si>
  <si>
    <t xml:space="preserve">O orgão diz que a obra foi concluída mas não apresentou documentação comprobatória. Paralisada. </t>
  </si>
  <si>
    <t>542/2018</t>
  </si>
  <si>
    <t>244/2018</t>
  </si>
  <si>
    <t>57420/18</t>
  </si>
  <si>
    <t>Como o ofício aponta, a obra continua paralisada.</t>
  </si>
  <si>
    <t xml:space="preserve">A obra encontra-se paralisada em função de problemas verificados pelo FNDE, quando da realização de fiscalizações realizadas por aquele Orgão. Divergências entre o projeto e o que efetivamente foi construído levaram o FNDE a suspender os repasses de recursos. </t>
  </si>
  <si>
    <t xml:space="preserve">A pintura dessas escolas foi concluída e, em decorrência da garve situação financeira pela qual passou os municípios brasileiros, Itapissuma não conseguiu honrar os pagamentos devidos à empresa, estando essa situação já devidamente regularizada. O registro no Mapa de obras de "Paralisada", já foi devidamente retificado. </t>
  </si>
  <si>
    <t>Serviços devidamente executados a pagos.</t>
  </si>
  <si>
    <t xml:space="preserve">Obra com pagamentos a serem realizados, mesmo que esteja concluída, não foi anexado nenhuma documentação comprobatória atestando a conclusão da obra.  </t>
  </si>
  <si>
    <t xml:space="preserve">A construção de pórtico está concluída, porém, ainda com pagamentos a serem  realizados à empresa que construiu o Pórtico, isso, decorrente de exigências feitas pela Secretaria de Planejamento/CEHAB, as quais estão sendo cumpridas. Os recursos financeiros são origiinários do FEM. </t>
  </si>
  <si>
    <t xml:space="preserve">O orgão diz que a obra encontra-se em andamento, porém quando consultou-se o TOME CONTA no dia 20/11/2018 não havia nenhum pagamento referente a essa obra. </t>
  </si>
  <si>
    <t>A obra já conta com cerca de 95% de execução, com previsão de finalização até o final desse ano. Essa obra é custeada com recursos do FEM.</t>
  </si>
  <si>
    <t>170/2018</t>
  </si>
  <si>
    <t>53819/18</t>
  </si>
  <si>
    <t xml:space="preserve">Obra paralisada em fase de análise para decidir a possibilidade de prorrogar ou renovar o referido contrato. </t>
  </si>
  <si>
    <t xml:space="preserve">No que diz respeito à obra em questão, ela foi executada parcialmente na gestão anterior, proveniente de Convênio que expirou no ano de 2015, ainda na gestão passada. Por esta razão a atual gestão segue diligenciando junto ao convênio, a possibilidade de prorrogar ou renovar o referido. Ao passo que, até a presente data não obtivemos resposta positiva ou negativa do orgão conveniente. </t>
  </si>
  <si>
    <t xml:space="preserve">Não foi mostrada nenhuma comprovação da rescisão do contrato, então a obra continua como paralisada. </t>
  </si>
  <si>
    <t>Em relação à obra de construções de galerias na sede do município, também contratada na gestão anterior, teve seu prazo de encerramento no ano de 2015, tendo por sua vez rescindido em 30/06/2015</t>
  </si>
  <si>
    <t xml:space="preserve">Obra paralisada em fase de análise para decidir a possibilidade de prorrogar ou renovar o referido convênio. </t>
  </si>
  <si>
    <t xml:space="preserve">Foi solicitado ao Setor de Engenharia uma avaliação técnica da referida, como também foi solicitado da secretária de saúde uma avaliação do cronongrama, a qual realizou para administrar o SISMOB, também realizado um cronograma físico e financeiro e aguardamos da conveniente a prorrogação da vigência do prazo do referido convênio para retomar a obra. </t>
  </si>
  <si>
    <t xml:space="preserve">Não foi mostrada nenhuma comprovação da conclusão da obra, então a obra continua como paralisada. </t>
  </si>
  <si>
    <t>O contrato teve vigência até 14/04/2015, dada pela gestão anterior como obra concluída</t>
  </si>
  <si>
    <t>613/2018</t>
  </si>
  <si>
    <t>868/2018 - CGM</t>
  </si>
  <si>
    <t>60.329/18</t>
  </si>
  <si>
    <t>Não forneceu informações sobre a conclusão da obra, apenas informa que a mesma está encerrada.</t>
  </si>
  <si>
    <t>Encerrada</t>
  </si>
  <si>
    <t>Paralisada, conforme resposta enviada.</t>
  </si>
  <si>
    <t>Aguardando negociação, referente à desapropriação.</t>
  </si>
  <si>
    <t>paralisada, conforme informação mandada.</t>
  </si>
  <si>
    <t>paralisado "sine die". Capitando recursos.</t>
  </si>
  <si>
    <t>Não foi apresentada nenhuma informação acerca de novo contrato realisado. Obra paralisada.</t>
  </si>
  <si>
    <t>Termo de rescisão amigável assinado em 03/03/2016</t>
  </si>
  <si>
    <t>paralisada por pagamento irrisório. Conforme pesquisa no TOME CONTAS (05/12/2018)</t>
  </si>
  <si>
    <t>paralisada.</t>
  </si>
  <si>
    <t>Não foram apresentadas informações suficientes para considerar a obra em questão como concluída. Busca realizada no TOME CONTAS (05/12/2018), não encontrou pagamentos que somem o valor contratado. Portanto, obra tida como paralisada.</t>
  </si>
  <si>
    <t>Não foram enviadas informações que comprovem a conclusão da obra. Obra tida como paralisada.</t>
  </si>
  <si>
    <t>Obra cancelada</t>
  </si>
  <si>
    <t>Acesso ao TOME CONTAS EM 06/12/2018, mostrou pagamentos que somam apenas metade do valor contratado. Desta maneira, tendo em vista a falta de esclarecimentos maiores sobre a obra em questão, a mesma continua tida como inacabada.</t>
  </si>
  <si>
    <t>Encerrado. Contrato finalizado em maio de 2017 e pagamentos pendentes pagos no exercício 2017 conforme mostra o mapa consolidado de 2017 em anexo.</t>
  </si>
  <si>
    <t>Os valores de pagamento disponíveis no TOME CONTAS (06/12/2018), não somam o valor contratado, de forma que não é possível  definir a obra como concluída.</t>
  </si>
  <si>
    <t>Contrato foi encerrado em fevereiro de 2018 e os pagamentos foram devidamente realizados como mostra o mapa trimestral de 2018 em anexo.</t>
  </si>
  <si>
    <t>Os valores disponíveis no TOME CONTAS (06/12/2018), não chegam a atingir a integralidade do valor contratado, de forma que não é possível identificar a obra como concluída.</t>
  </si>
  <si>
    <t>Encerrado. Contrato foi encerrado em fevereiro de 2018 e os pagamentos foram devidamente realizados como mostra o mapa trimestral de 2018 em anexo.</t>
  </si>
  <si>
    <t>Encerrado. Contrato foi encerrado em fevereiro de 2018 e os pagamentos foram devidamente realizados como mostram os mapas trimestrais de 2017 e 2018 em anexo.</t>
  </si>
  <si>
    <t>No site TOME CONTA (05/12/2018), não constam pagamentos que totalizem o valor contratado. Pela falta de comprovações de conclusão, a obra  é tida como paralisada.</t>
  </si>
  <si>
    <t>Os valores de pagamento que constam no TOME CONTAS (06/12/2018), não somam nem metade do valor contratado, de maneira que não é possível concluir que a obra foi realmente concluída.</t>
  </si>
  <si>
    <t>O município alega que uma nova empresa foi chamada para tocar a obra, mas não manda informações que comprovem o status da obra. Obra tida como paralisada.</t>
  </si>
  <si>
    <t>Distratada. Foi realizado o distrato com a porto da construção e realizada a contratação da terceira colocada no processo licitatório, visto que a porto da construção já era a segunda colocada. Isto ocorreu pois a empresa porto da construção estava  com pendências de certidões, o que impedia a mesma de receber os pagamentos dos boletins de medições. A obra está sendo executada pela multiset engenharia com previsão de conclusão até o mês de dezembro de 2018.</t>
  </si>
  <si>
    <t>obra paralisada, conforme informação prestada.</t>
  </si>
  <si>
    <t>Obra paralisada. Estava sendo construída apenas a creche. A empresa paralisou a obra sem justa causa e prévia comunicação à administração desde 02/09/2016. Não foi realizada a rescisão do contrato. Saldo do contrato não é suficiente para a conclusão da creche e escola. Ressalto que os empenhos referentes ao reajuste de R$ 57.221,66 e ao valor de R$ 28.786,04 (BM5), informados como DEA, foram anulados. Asecretaria de Educação tomou conhecimento e ficou de tomar as providências.</t>
  </si>
  <si>
    <t>Não foram enviadas comprovações de que a obra tenha sido concluída. Em busca no TOME CONTAS, realisada em 05/12/2018, não foram encontrados pagamentos que totalizem o valor contratado. Portanto, obra tida como paralisada.</t>
  </si>
  <si>
    <t>Não enviou informações para caracterizar a obra como concluída, portanto a obra é tida como paralisada.</t>
  </si>
  <si>
    <t>Busca realisada no TOME CONTAS (05/12/2018) não foi encontrado nenhum pagamento para a obra no ano de 2018</t>
  </si>
  <si>
    <t>Os valores de pagamento que constam no TOME CONTAS (06/12/2018), não representam nem metade do valor contratado, de maneira que não é possível concluir que a obra esteja concluída.</t>
  </si>
  <si>
    <t>Encerrado. Contrato foi encerrado em junho de 2017 e os pagamentos pendentes foram pagos ao longo do exercício de 2017 mostra o mapa de obras de 2017 em anexo.</t>
  </si>
  <si>
    <t>Uma busca no site TOME CONTAS, realizada em 05/12/2018, não encontrou nenhum pagamento para a obra em questão. Portanto a obra é tida como paralisada.</t>
  </si>
  <si>
    <t>Em acesso ao TOME CONTAS, realizado em 05/12/2018, não foi observado nenhum pagamento para a obra em questão. E considerando que não foi enviada nenhuma comprovação de que a obra tenha sido concluída, a mesma permanece como paralisada</t>
  </si>
  <si>
    <t>Concluida, restando liberação de pagamento pela caixa.</t>
  </si>
  <si>
    <t>enquanto a obra está aguardando termo aditivo, permanece como paralisada.</t>
  </si>
  <si>
    <t>AGUARDANDO TERMO ADITIVO DE PRAZO, COMO TAMBÉM MUDANÇA DA FONTE 01 PARA A FONTE 02 (tendo em vista que a execução dos serviços fará parte das metas do termo de compromisso nº 792.652/2013, firmado entre o município de jaboatão dos guararapes e o ministério das cidades)</t>
  </si>
  <si>
    <t>Nenum pagamento realisado este ano, segundo os dados do TOME CONTAS. Portanto obra paralisada.</t>
  </si>
  <si>
    <t>254/2018</t>
  </si>
  <si>
    <t>57945/18</t>
  </si>
  <si>
    <t xml:space="preserve">A obra está concluída, porém não está com os pagamentos devidos feitos, classificada então como Inacabada. </t>
  </si>
  <si>
    <t xml:space="preserve">A obra encontra-se concluída, em pleno funcionamento e que a demora na conclusão desse serviço se deu ao grande atraso no repasse dos recursos pelo Fundo Nacional de Saúde, cuja última parcela só chegou no dia 11 de outubro próximo passado. </t>
  </si>
  <si>
    <t>378/2018</t>
  </si>
  <si>
    <t>615/2018</t>
  </si>
  <si>
    <t>227/2018</t>
  </si>
  <si>
    <t>59411/18</t>
  </si>
  <si>
    <t>A Prefeitura não informou quais medidas seriam adotadas após a rescisão do contrato, sendo, portanto, somente possível caracterizar a obra como paralisada.</t>
  </si>
  <si>
    <t>o Contrato da obra foi rescindido por prazo, e por este motivo não foram iniciadas.</t>
  </si>
  <si>
    <t>298/2018</t>
  </si>
  <si>
    <t>57614/18</t>
  </si>
  <si>
    <t xml:space="preserve">O orgão declara que a obra foi concluída, mas quando se consulta o TOME CONTA, no dia 22/11/2018, o valor pago por ele não coincide com o valor declarado na resposta.  O orgão também não apresentou nenhuma comprovação da conclusão da obra. Assim, a obra continua inacabada. </t>
  </si>
  <si>
    <t>Obra relicitada, licitação vencida pela JVS CONSTRUTORA LTDA, em andamento</t>
  </si>
  <si>
    <t>O orgão declara a obra em andamento, porém no TOME CONTA, consultado dia 22/11/2018, há  um pagamento de apenas 36.000, menor do que 15% do valor  do valor total contratado, então a obra está paralisada.</t>
  </si>
  <si>
    <t xml:space="preserve">Obra paralisada aguardando repasse financeiro do Estado de Pernambuco. </t>
  </si>
  <si>
    <t xml:space="preserve">Obra concluída, porém sem documentação ou declaração de pagamentos, devido ao aguardo de verbas do governo. Inacabada. </t>
  </si>
  <si>
    <t xml:space="preserve">Obra concluída, aguaradando repasse financeiro do Estado de Pernambuco. </t>
  </si>
  <si>
    <t xml:space="preserve">O orgão declara a obra como concluída, porém na consulta ao TOME CONTA, há apenas um registor de pagamento irrisório, o que configura a obra como incabada. </t>
  </si>
  <si>
    <t xml:space="preserve">O orgão declara a obra como em andamento, porém na consulta do dia 22/11/2018 no TOME CONTA, não havia pagamentos referentes a essa obra. </t>
  </si>
  <si>
    <t>Obra encerrada. Inacabada.</t>
  </si>
  <si>
    <t>Obra encerrada por falta de recursos</t>
  </si>
  <si>
    <t xml:space="preserve">O orgão não enviou informações sobre a obra </t>
  </si>
  <si>
    <t>617/2018</t>
  </si>
  <si>
    <t>199/2018</t>
  </si>
  <si>
    <t>56398/18</t>
  </si>
  <si>
    <t xml:space="preserve">Em 27/11/2018, no TomeConta consta pagamento de R$ 44.227,64 em 29/12/2016, aproximadamente 18% do contrato. </t>
  </si>
  <si>
    <t>Empresa alegou dificuldade financeira e a obra encontra-se paralisada. Empresa será notificada do distrato do contrato.</t>
  </si>
  <si>
    <t>548/2018</t>
  </si>
  <si>
    <t>355/2018</t>
  </si>
  <si>
    <t>57921/18</t>
  </si>
  <si>
    <t>Apesar da alegação do município, encontramos apenas um pagamento de 126.584,71, que representa cerca de 15% do valor total. Desta maneira, consideraremos a obra paralisada.</t>
  </si>
  <si>
    <t>A obra encontra-se concluída desde 26/10/2017, porém seu pagamento final só foi realizado no exercício posterior devido ao atraso da liberação da última parcela pelo órgão concedente.</t>
  </si>
  <si>
    <t>No Tome Conta consta apenas um pagamento de 126.636,11, feito em 2016. Desse modo, consideraremos a obra paralisada.</t>
  </si>
  <si>
    <t>A obra encontra-se atualmente com percentual de execução de 86,4%, aguardando para sua conclusão a liberação da última parcela do recurso por parte do FNDE.</t>
  </si>
  <si>
    <t>No Tome Conta consta apenas um pagamento de 91.538,12, feitos em 2016 e 2017. Desse modo, consideraremos a obra paralisada.</t>
  </si>
  <si>
    <t>A obra encontra-se concluída desde 16/08/2017, inclusive com prestação de conta aprovada pelo agente financeiro.</t>
  </si>
  <si>
    <t>O município não mandou nenhuma prova de que a obra está concluída, visto que aparentemente o contrato foi terminado com a empresa.</t>
  </si>
  <si>
    <t xml:space="preserve"> A obra encontrava-se inacabada desde 2013, devido a não prorrogação do convênio por parte do agente financeiro. Não foi dado prosseguimento em relação ao início da execução da obra de forma indireta. Em vista disso, o município teve que arcar com a execução dos serviços restantes de forma direta, para dar funcionalidade ao objeto. Atualmente, a mesma encontra-se concluída e com a prestação de contas aprovada pelo agente financeiro</t>
  </si>
  <si>
    <t>O pagamento da obra não consta no Tome Conta, sendo impossível verificar se ela está concluída.</t>
  </si>
  <si>
    <t>A obra encontra-se concluída desde 04/01/2016, inclusive com prestação de contas aprovada pelo agente financeiro</t>
  </si>
  <si>
    <t>O município não forneceu provas da alegação de que a obra está concluída (como fotos ou documentos)). Desta maneira, não há como verificar a informação.</t>
  </si>
  <si>
    <t>Por ter sido uma obra realizada com rescursos próprios, a administração da época, não deu continuidade a execução dos serviços, em vista da escassez de recursos. Sendo assim, com o término do período contratual, sem que tivesse havido renovação, os serviços já executados foram considerados satisfatórios.</t>
  </si>
  <si>
    <t>Pela própria admissão do município, a obra está inacabada.</t>
  </si>
  <si>
    <t>A obra encontra-se inacabada e com o prazo contratual expirado. Com 90% dos serviços executados, falta apenas a execução das instalações elétricas. Porém, para que o objeto em questão possua funcionalidade, será elaborado um projeto que consiste num abrigo para alojamento dos equipamentos de controle, e,com isso, realizar um novo processo licitatório para contratação de empresa.</t>
  </si>
  <si>
    <t>O empenho da obra aparece no Tome Conta, mas apesar do baixo valor da obra, não consta o pagamento.</t>
  </si>
  <si>
    <t>A obra encontra-se concluída desde 09/10/2015</t>
  </si>
  <si>
    <t>618/2018</t>
  </si>
  <si>
    <t>122/2018</t>
  </si>
  <si>
    <t>58583/18</t>
  </si>
  <si>
    <t>No Tome Conta é possível verificar alguns pagamentos que representam menos do que a metade do valor total da obra, com a última parcela paga em 2014. A prefeitura alegou que o contrato foi rescindido e não forneceu mais informações a respeito. Consideraremos a obra paralisada.</t>
  </si>
  <si>
    <t>No Tome Conta foi encontrado um pagamento irrisório quando comparado ao valor total da obra.</t>
  </si>
  <si>
    <t>Contrato Encerrado</t>
  </si>
  <si>
    <t>Não foram encontrados pagamentos para esta obra no Tome Conta, de maneira que consideraremos esta obra paralisada.</t>
  </si>
  <si>
    <t>Os pagamentos encontrados no Tome Conta são de menos da metade do valor da obra, de maneira que a consideraremos paralisada.</t>
  </si>
  <si>
    <t>Obra concluída. Saldo financeiro a pagar.</t>
  </si>
  <si>
    <t>Contrato rescindido, publicado na AMUPE em 11/05/2016.</t>
  </si>
  <si>
    <t>O pagamento encontrado no Tome Conta é de mais da metade do valor total da obra, porém foi pago em 2014, sem novas parcelas. Como a obra não chegou ao valor total acordado no contrato, consideraremos a obra paralisada.</t>
  </si>
  <si>
    <t>Pela própria admissão do município, o contrato foi rescindido e nova licitação realizada, porém a prefeitura não informou os detalhes do novo processo licitatório, sendo impossível fazer qualquer verificação.</t>
  </si>
  <si>
    <t>Contrato Rescindido em 13/12/2017. Feita nova licitação</t>
  </si>
  <si>
    <t>Rescisão em 20/03/2017, publicado no DOU em 22/03/2017. Feita nova licitação.</t>
  </si>
  <si>
    <t>A prefeitura não forneceu nenhuma informação além de que o contrato foi rescindido. Desta maneira, consideraremos a obra paralisada.</t>
  </si>
  <si>
    <t>Rescisão em 20/03/2017, publicado no DOU em 22/03/2017.</t>
  </si>
  <si>
    <t>A prefeitura não forneceu nenhuma informação além de que o contrato foi encerrado. Desta maneira, consideraremos a obra paralisada.</t>
  </si>
  <si>
    <t>O único pagamento registrado para esta obra tem um valor irrisório se comparado ao valor total, apesar de ter sido realizado em 2018. Desta maneira, consideraremos a obra paralisada</t>
  </si>
  <si>
    <t>Os pagamentos encontrados no Tome Conta não são significativos, com a última parcela paga em janeiro de 2017. Consideraremos a obra paralisada.</t>
  </si>
  <si>
    <t>Em andamento. Saldo financeiro a pagar.</t>
  </si>
  <si>
    <t>56063/18</t>
  </si>
  <si>
    <t xml:space="preserve">O contrato da referida obra foi rescindido, conforme aponta o comprovante anexado, e houve a necessidade da elaboração de novo projeto para uma nova contratação. Enquanto o projeto não for finalizado, a obra continua como paralisada. </t>
  </si>
  <si>
    <t xml:space="preserve">A obra sofreu um termo de rescisão unilateral do contrato e do termo aditivo, na qual a empresa mostrou desinteresse em continuar com o serviço de pavimentação. Para o andamento do processo e contratação de uma nova empresa para execução do serviço, foi realizada uma reunião na Caixa Econômica Federal, para que seja realizada uma modificação no projeto, tendo em vista que a emenda é de 2014 e o contrato de 2015. O novo projeto já está em fase final e será apresentado à Caixa Econômica para ser retomada a execução da obra. </t>
  </si>
  <si>
    <t xml:space="preserve">A obra continua inacabada, já que o orgão não deu nenhum indício do reinício da obra. </t>
  </si>
  <si>
    <t xml:space="preserve">A obra ficou paralisada por um longo período em razão da não continuidade dos recursos financeiros por parte do Estado de Pernambuco. O valor pago foi de R$ 380.017,97, conforme consta do ofício deste TCE, o qual foi prestado contas à SEPLAG. O saldo remanescente está sendo reprogramado para execução da 2ª Etapa do Estádio Municipal, ainda não licitada, pois está em análise na SEPLAG, conforme Plano de Trabalho anexado. </t>
  </si>
  <si>
    <t xml:space="preserve">Como a obra ainda está na fase da preparação do laudo pericial para se dar a continuidade no processo, atualmente encontra-se paralisada. </t>
  </si>
  <si>
    <t xml:space="preserve">Informamos que já é de conhecimento desta Corte de Contas que a mesma está sendo objeto de Tomada de Contas Especial por parte do TCE, uma vez que este Município promoveu representação em face do ex-prefeito acerca das irregularidades identificadas, inclusive pelo próprio TCE, que emitiu proposta de recomendação, a qual está sendo seguida pelo município, conforme documentação em anexo. A contratada deixou várias pendências e falhas construtivas tendo sido encaminhado ao TCE um laudo preliminar da situação da quadra para análise da obra em questão. No momento, está sendo executado uma perícia técnica através de uma empresa especializada para a preparação do Laudo Pericial, com a finalidade de dar continuidade ao processo. </t>
  </si>
  <si>
    <t xml:space="preserve">Obra paralisada por falta de recursos, como próprio ofício diz. </t>
  </si>
  <si>
    <t>A obra está sendo executada com recursos próprios e encontra-se paralisada. Foi realizado o pagamento na importância de R$39.508,13, conforme documentos em anexo e, em razão da indisponibilidade de caixa para o pagamento dos boletins de medição, o Município aguradpor novos recursos para dar prosseguimento.</t>
  </si>
  <si>
    <t xml:space="preserve">O orgão não enviou documentação comprobatória da finalização da obra, assim ela continua como paralisada. </t>
  </si>
  <si>
    <t xml:space="preserve">Devido à falta de recursos financeiros municipais a obra permaneceu paralisada, no entanto os serviços foram retomados e a obra encontra-se finalizada. </t>
  </si>
  <si>
    <t>553/2018</t>
  </si>
  <si>
    <t>317/2018</t>
  </si>
  <si>
    <t>57567/18</t>
  </si>
  <si>
    <t xml:space="preserve">A obra estava em novo processo licitatório porém houve um segundo distrato e não há informações se a obra continua paralisada ou se foi reiniciada. Continua como obra paralisada/inacabada. </t>
  </si>
  <si>
    <t xml:space="preserve">Já foram prestados esclarecimentos sobre este distrato através do Ofício GAPRE nº 361/2017, datado de 22/09/17, protocolado no TCE-PE em 26/09/17, reg. 9809/17. De fato, o contrato celebrado com a empresa VASCONCELOS &amp; MAGALHÃES EMPREENDIMENTOS LTDA, referente à obra em questão foi extinto pela realização de distrato. A empresa contratada não cumpriu o prazo contratual, mesmo tendo este sido ampliado através de aditivo de prazo, e ainda considerando que a emrpesa foi notificada e convocada formalmente, sem resultado. A Administração Municipal procedeu às adaptações/ atualizações cabiveis no projeto e licitou o saldo remanescente. A obra, depois disso, teve executados 46% dos serviços previstos no projeto de conclusão, até ser distratada novamente, por descumprimento de prazo. </t>
  </si>
  <si>
    <t xml:space="preserve">Já foram prestados esclarecimentos sobre este distrato através do Ofício GAPRE nº 361/2017, datado de 22/09/17, protocolado no TCE-PE em 26/09/17, reg. 9809/17. O contrato com a empresa GB CONSTRUTORA INCORPORADORA LTDA EPP foi distratado por não cumprimento do prazo contratual e problemas com o novo regime de desmbolso  para as obras financiadas pelo Ministério da Educação, através do FNDE. A obra, depois disso, teve executados 42%dos serviços previstos no projeto de conclusão, até ser distratada novamente, por descumprimento de prazo. </t>
  </si>
  <si>
    <t xml:space="preserve">O orgão declara que a obra foi concluída porém não apresenta documentação comprovatória. Há registro no TOME CONTA, dia 21/11/2018, sobre um pagamento referente a essa obra, porém ele é irrisório em relação ao total conntrado. Continua como paralisada. </t>
  </si>
  <si>
    <t>Já foram prestados esclarecimentos sobre este distrato através do Ofício GAPRE nº 361/2017, datado de 22/09/17, protocolado no TCE-PE em 26/09/17, reg. 9809/17. O contrato com a empresaRTS CONSTRUÇÕES E SERVIÇOS LTDA foi distratado por não cumprimento do prazo contratual. A administração procedeu às adaptações do projetoe licitou o saldo remanescente para conclusão da obra, que foi completamente concluída em 04/09/2017, dentro do prazo contratual, e encontra-se em plena operação.</t>
  </si>
  <si>
    <t xml:space="preserve">O orgão declara que a obra foi concluída porém não apresenta documentação comprovatória.Conferindo no TOME CONTA, dia 21/11/2018, não se encontra nenhum pagamento referente a essa obra. </t>
  </si>
  <si>
    <t>Já foram prestados esclarecimentos sobre este distrato através do Ofício GAPRE nº 361/2017, datado de 22/09/17, protocolado no TCE-PE em 26/09/17, reg. 9809/17. O contrato com a empresaKADORE COMÉRCIO E SERVIÇOS TERCEIRIZADOS LTDA foi distratado por não cumprimento do prazo contratual. A administração procedeu às adaptações do projetoe licitou o saldo remanescente para conclusão da obra, que foi completamente concluída em 05/07/2018, dentro do prazo contratual, e encontra-se em plena operação.</t>
  </si>
  <si>
    <t>554/2018</t>
  </si>
  <si>
    <t>61345/18</t>
  </si>
  <si>
    <t>Em 06/12/2018, no TomeConta há pagamentos de R$ 224.372,61 de 2012 a 2014.</t>
  </si>
  <si>
    <t>Encontra-se em execução. Houve transferencia de recursos no ano de 2017.</t>
  </si>
  <si>
    <t>Em 06/12/2018, no TomeConta há pagamentos de R$ 42.915,31.</t>
  </si>
  <si>
    <t>A obra encontra-se concluída.</t>
  </si>
  <si>
    <t>556/2018</t>
  </si>
  <si>
    <t>137/2018</t>
  </si>
  <si>
    <t>57202/18</t>
  </si>
  <si>
    <t xml:space="preserve">Obra declarada pelo orgão como finalizada, porém sem nenhum comprovante de conclusão, assim continua paralisada. </t>
  </si>
  <si>
    <t xml:space="preserve">Obra relicitada e finalizada. </t>
  </si>
  <si>
    <t xml:space="preserve">Conforme o ofício diz, uma das obras encontra-se paralisada, enquanto a outra está em andamento. Porém como não há nenhum documento comprobatório para o andamento da obra, ela continua como paralisada. </t>
  </si>
  <si>
    <t xml:space="preserve">Verificamos que a mesma encontra-se com a obra de compostagem paralisada em precesso de relicitação e a pavimentação em execução. </t>
  </si>
  <si>
    <t>Medição realizada, porém documentação comprobatória não anexada. Paralisada</t>
  </si>
  <si>
    <t xml:space="preserve">Na última medição realizada, foi gerado um boletim de 68 mil reais aguardando recursos do FNDE para pagamento do mesmo. </t>
  </si>
  <si>
    <t xml:space="preserve">O orgão não se manifestou sobre a obra. </t>
  </si>
  <si>
    <t xml:space="preserve">Obra relicitada, porém sem qualquer documentação comprobatória. Paralisada </t>
  </si>
  <si>
    <t>Obra relicitada.</t>
  </si>
  <si>
    <t>558/2018</t>
  </si>
  <si>
    <t>192/2018</t>
  </si>
  <si>
    <t>58218/2018</t>
  </si>
  <si>
    <t>A obra se encontra paralisada, visto que o contrato inicial foi rescindido e o novo projeto básico ainda está em fase de conclusão</t>
  </si>
  <si>
    <t>O contrato foi rescindido, e um projeto básico para nova licitação em fase de conclusão</t>
  </si>
  <si>
    <t>Obra paralisada pela própria admissão do município, que está aguardando recursos para continuação da mesma.</t>
  </si>
  <si>
    <t>Obra paralisada, aguardando recurso</t>
  </si>
  <si>
    <t>No Tome Conta foram encontrados pagamentos de mais da metade do valor total da obra, porém não de sua totalidade. Consideraremos a obra paralisada</t>
  </si>
  <si>
    <t>O contrato inicial foi rescindido e mandado em anexo para conferência. A prefeitura não informou as medidas para retomar a obra, de maneira que a consideraremos paralisada.</t>
  </si>
  <si>
    <t>Contrato rescindido</t>
  </si>
  <si>
    <t>560/2018</t>
  </si>
  <si>
    <t>114/2018</t>
  </si>
  <si>
    <t>57936/18</t>
  </si>
  <si>
    <t xml:space="preserve">Obra paralisada por falta de recurso. </t>
  </si>
  <si>
    <t xml:space="preserve">Informamos que no ano de 2017 não houve liberação de verba. A empresa contratada, J RODRIGUES BEZERRA SERVÇOS EIRELI-EPP, executou um percentual de avanço, no entanto, como não houve repasse de recurso por parte do GovernoFederal, não houve possibilidade de dar continuidade aos trabalhos. </t>
  </si>
  <si>
    <t>627/2018</t>
  </si>
  <si>
    <t>307/2018</t>
  </si>
  <si>
    <t>57891/18</t>
  </si>
  <si>
    <t>No TomeCOnta, em 27/11/2018, consta pagamento de R$ 47.928,87, aproximadamente  5% do contrato.</t>
  </si>
  <si>
    <t>Paralisada. Distrato de contrato.</t>
  </si>
  <si>
    <t>No TomeCOnta, em 27/11/2018, consta pagamento de R$ 189.337,30 em 2014, aproximadamente  21% do contrato.</t>
  </si>
  <si>
    <t>No TomeCOnta, em 27/11/2018, consta pagamentos totalizando R$ 621.383,88, aproximadamente  77% do contrato.</t>
  </si>
  <si>
    <t>No TomeCOnta, em 27/11/2018, consta pagamento de R$ 79.920,00, aproximadamente  17% do contrato.</t>
  </si>
  <si>
    <t>628/2018</t>
  </si>
  <si>
    <t>186/2018</t>
  </si>
  <si>
    <t>59882/18</t>
  </si>
  <si>
    <t>O município não forneceu informações que  comprovem a conclusão da obra, de modo que ela continua como paralisada.</t>
  </si>
  <si>
    <t>As causas que levaram à não execução da obra fogem à explicação da atual gestão, já que o contrato nº 039/2014 fora firmado em 23/05/2014, ficando previsto na cláusula oitava que o seu prazo de execução seria de 90 dias a partir dali.</t>
  </si>
  <si>
    <t>630/2018</t>
  </si>
  <si>
    <t>262/2018</t>
  </si>
  <si>
    <t>56685/18</t>
  </si>
  <si>
    <t>Ocorreu uma nova licitação (Modalidade TP 006/2016), vencida pela empresa Conceito Costrutora LTDA. O valor contratado pela prefeitura foi de 632891,52 reais, com um valor aditado de 127044,56, perfazendo o total de 717410,28, valor esse declarado pago pela prefeitura, classificando a obra como concluída. Porém no Tome Conta consta apenas um pagamento de 274741,67.</t>
  </si>
  <si>
    <t>Classificada como inacabada por não ter sido concluído todo o seu objeto, restando alguns módulos a serem executados. Nova licitação foi feita, não incluíndo todos os módulos da primeira licitação, resultando em apenas uma parte da obra a ser concluída e outras não. Ao assumir a gestão em 2017, o convênio não tinha sido renovado pela gestão anterior e por isso foi dado como cancelado e a obra considerada inacabada.</t>
  </si>
  <si>
    <t>Foi possível apenas achar um pagamento de 9689,78 reais no Tome Conta, valor irrisório comparado ao valor do contrato. Até recebimento de mais informações da prefeitura, considerarei a obra inacabada.</t>
  </si>
  <si>
    <t>A prefeitura alega que não foi possível preencher o mapa apenas com as informações localizadas na documentação em pasta em virtude do contrato ser muito antigo, nem soube dizer o status da obra com precisão, alegando que será feito confirmação da situação da obra in loco para enviar novas informações ao Tribunal em uma data posterior.</t>
  </si>
  <si>
    <t>Não há menção a este novo contrato alegado na planilha enviada, nem pagamento registrado no Tome Conta.</t>
  </si>
  <si>
    <t>Contrato distratado, sendo considerada obra inacabada pela primeira empresa. Após a segunda licitação, a segunda empresa concluiu a obra em questão</t>
  </si>
  <si>
    <t>569/2018</t>
  </si>
  <si>
    <t>278/2018</t>
  </si>
  <si>
    <t>57103/18</t>
  </si>
  <si>
    <t>Obra paralisada/inacabada, visto que o contrato foi extinto e ainda não houve assinatura de um novo.</t>
  </si>
  <si>
    <t>A referida obra ainda não foi concluída pois o contrato com a empresa foi extinto. Diante disto, o município buscou aprovação da reprogramação do objeto junto à Caixa Econômica Federal, estando o mesmo neste momento em fase de contratação, tendo em vista que a administração lançou duas licitações que foram desertas e está em busca de empresa para contratar por meio de dispensa.</t>
  </si>
  <si>
    <t>Não foi possível identificar a nova empresa contratada no Tome Conta, ou seja, não foi possível verificar se houve algum pagamento realizado.</t>
  </si>
  <si>
    <t>A obra foi informada como inacabada visto que a execução da mesma não foi concluída, tendo sido realizado um muro de arrimo para o terreno e serviços preliminares. O contrato com a empresa foi distratado, e diante deste fato, o município providenciou a licitação do remanescente do objeto e uma nova empresa (M&amp;W serviços de construção e reforma Ltda.) foi contratada para retomar a obra, tendo sido informado tal fato no mapa de obras do trimestre de 2018.</t>
  </si>
  <si>
    <t>Apesar das fotos enviadas mostrarem que a obra está, de fato, sendo executada, não foi possível achar a empresa que venceu a nova licitação nem a menção a uma nova licitação no Tome Conta, sendo impossível, por isso, verificar se houve pagamento.</t>
  </si>
  <si>
    <t>A referida obra foi informada como inacabada, tendo em vista que a execução da mesma não foi concluída e o contrato com a empresa contratada está extinto. Diante deste fato, o município buscou aprovação da reprogramação do objeto junto à Ciaxa Econômica Federal, gestora do contrato de repasse entre o município e o Ministério do Turismo, fez nova licitação e contratou a empresa "GM Incorporadora, serviços e transportes LTDA-ME" em 05/02/2018, cujo contrato encontra-se em andamento, conforme fotos enviadas.</t>
  </si>
  <si>
    <t>Apesar da alegação do município de que a obra encontra-se concluída, foi possível achar apenas um pagamento irrisório no Tome Conta, motivo pelo qual a obra será considerada paralisada/inacabada.</t>
  </si>
  <si>
    <t>A obra encontra-se concluída e em pleno funcionamento desde 2016, tendo sido informada nos mapas deste ano e não mais nos subsequentes, causando estranheza o fato de ainda constar na relação enviada.</t>
  </si>
  <si>
    <t>Apesar da alegação do município, não há registros do pagamento do valor total da obra no Tome Conta, apenas de uma parte, a última parcela sendo paga ainda em 2015.</t>
  </si>
  <si>
    <t>633/2018</t>
  </si>
  <si>
    <t>139/2018</t>
  </si>
  <si>
    <t>57592/18</t>
  </si>
  <si>
    <t xml:space="preserve">O contrato inicial foi rescindido e houve novo processo licitatório, que não foi concluído. O projeto da obra necessita de readequações e só depois de aprovado pela FUNASA, poderá ser executado. Como a aprovação da FUNASA ainda não aconteceu, a obra encontra-se paralisada. </t>
  </si>
  <si>
    <t xml:space="preserve">Diante do longo período de paralisação da obra, a empresa contratada solicitou o Reequilíbrio Econômico Financeiro do Contrato. mediante realinhamento dos valores inerentes a todos os serviços e Revisão e Adequação dos quantitativos originalmente contidos na planilha de orçamentação da obra e na hipótese do Município adotar como posicionamento a recusa dos pedidos, que fosse realizada a recisão contratual. A administação do período de 2013-2016 não renovou o contrato nº 110/2011 e a empresa se retirou do canteiro de obras em março/2014. Posteriormente foi iniciado novo processo licitatório, porém não foi concluído. O orgão em questão encontra-se no momento discutindo com a FUNASA a redução de metas em razão do aumento de material de 3ª categoria e reprogramação do projeto, objetivando tomar providências necessárias para a retomada da execução dos serviços em questão. </t>
  </si>
  <si>
    <t xml:space="preserve">A obra encontra-se em fase de aprovação da reprogramação, então está paralisada. </t>
  </si>
  <si>
    <t xml:space="preserve">As obras relativas a Construção do Centro Cultural encontram-se paralisadas em virtude de que houve a desistência da empresa contratada. A prefeitura encaminhou reprogramação da obra ao Ministério do Turismo e aguarda sua aprovação para proceder com abertura de nova lciitação e continuar com a obra. </t>
  </si>
  <si>
    <t xml:space="preserve">A obras relativas à construção das Arquibancadas e Urbanização do Campo de Futebol municipal encontram-se paralisadas em virtude que houve desistência da empresa contratada. A prefeitura encaminhou reprogramação à Caixa Econômica, porém não foi aprovada. Solicitou-se a redução de metas e no momento, aguarda-se o pronunciamento do referido órgão. </t>
  </si>
  <si>
    <t xml:space="preserve">Conforme consulta-se no TOME CONTA, dia 23/11/2018, a obra teve seu valor totalmente pago, sinalizando a conclusão da referida obra. </t>
  </si>
  <si>
    <t xml:space="preserve">Informamos que estes serviços foram realizados em sua totalidade e encontram-se, nesta data, devidamente concluídos. </t>
  </si>
  <si>
    <t>634/2018</t>
  </si>
  <si>
    <t>178/2018</t>
  </si>
  <si>
    <t>57203/18</t>
  </si>
  <si>
    <t>O município só tinha informações de uma obra, que ele declarou concluída, mas não enviou documentação comprobatória. Então toda as três permanecem paralisadas.</t>
  </si>
  <si>
    <t>Apesar deste processo englobar 03 obras a atual gestão da prefeitura detectou apenas documentações e evolução de obra em relação à construção doi Sítio Cunha. As UBSs de Gameleira e Boa Vista não foram iniciadas. a obra de Sítio Cunha estava paralisada, no entanto teve sua retomada e conclusão em 28/09/2017, sendo recebida pelo engenheiro Ozilan Viana Brandão e o atual prefeito, Jaziel Gonsalves Lages. também foi realizada representação em face da ex-prefeita Elianai Buarque Gomes, por se tratar de obra de convênio junto ao Ministério da Saúde com insuficiência de documentos para a devida regularização junto ao SISMOB.</t>
  </si>
  <si>
    <t xml:space="preserve">Como verificado no TOME CONTA, no dia 21/11/2018, há o pagamento do valor total da obra, caracterizando a sua conclusão. </t>
  </si>
  <si>
    <t>O orgão declara a obra como concluída porém não envia documentação comprobatória nem há qualquer registro no TOME CONTA, acessado dia 21/11/2018</t>
  </si>
  <si>
    <t>571/2018</t>
  </si>
  <si>
    <t>206/2018 - SOU</t>
  </si>
  <si>
    <t>58922/18</t>
  </si>
  <si>
    <t>Em acesso ao TOME CONTAS NO DIA 28/11/2018 não foi possível encontrar o CNPJ  da empresa. Desta forma não foi possível confirmar que os pagamentos foram realmente efetuados.</t>
  </si>
  <si>
    <t>Em acesso ao TOME CONTAS no dia 27/11/2018, não foi encontrado nenhum valor pago referente ao serviço descrito.</t>
  </si>
  <si>
    <t>Em acesso ao TOME CONTAS no dia 27/11/2018, não foi encontrado nenhum valor empenhado para a obra em questão.</t>
  </si>
  <si>
    <t>573/2018</t>
  </si>
  <si>
    <t>173/2018</t>
  </si>
  <si>
    <t>57148/18</t>
  </si>
  <si>
    <t xml:space="preserve">Conforme pode se verificar no TOME CONTA, dia 21/11/2018, o valor total da obra foi empenhado. Porém, menos da metade foi efetivamente pago ou liquidado, mostrando que ainda há serviços a serem feitos ou medidos e reconhecidos para que haja sua liquidação.Obra inacabada. </t>
  </si>
  <si>
    <t xml:space="preserve">Concluído.Boletins finais emitidos e pagamento empenhado. </t>
  </si>
  <si>
    <t xml:space="preserve">Como a obra em questão foi considerada como sem funcionalidade pela Instiruição Financeira de Repasse, com parte ainda por fazer e a parte concluída depreciada, a obra é classificada como paralisada/inacabada. </t>
  </si>
  <si>
    <t xml:space="preserve">Etapa II, esta obra foi abandonada pela gestão anterior o que resultou na sua depreciação. Sendo assim, a mesma foi considerada como obra sem funcionalidade pela institução financeira de repasse, a Caixa Econômica Federal, atrelada, que instaurou Tomada de Contas Especial. Etapa III Contrato de repasse cancelado pela instituição financeira Caixa econômica Federal, Ministério das cidades. </t>
  </si>
  <si>
    <t xml:space="preserve">Como declara o ofício, a obra encontra-se em fase de aguardo de cronograma de execução e retomada da execução da obra, sendo assim continua paralisada. </t>
  </si>
  <si>
    <t xml:space="preserve">Paralisada. Notificação enviada à empresa solicitando cronograma de execução e retomada da obra. </t>
  </si>
  <si>
    <t xml:space="preserve">O orgão declara a obra como concluída mas no TOME CONTA, consultado dia 21/11/2018, não há pagamento referente a essa obra. Continua como paralisada. </t>
  </si>
  <si>
    <t xml:space="preserve">Obra Concluída. Convênio nº 309/08 prestado contas aguardamento parecer da FUNASA conforme ofício GP 015/2017 desta Prefeitura em anexo. </t>
  </si>
  <si>
    <t xml:space="preserve">Essa obra foi abandonada pela gestão anterior que resultou em sua depreciação. Sendo assim a mesma foi considerada obra sem funcionalidade e distratada pela Instituição financeira de Repasse a Caixa Econômica Federal, atrelada CR 291.445-09/2009, que instaurou Tomada de Contas Especial de acordo com o Ofício 535/2013/GIDURCA. Vale informar que o orgão concendente foi o Ministério do Turismo. </t>
  </si>
  <si>
    <t>574/2018</t>
  </si>
  <si>
    <t>354/2018</t>
  </si>
  <si>
    <t>56307/18</t>
  </si>
  <si>
    <t>TP 001/2014 - O número da modalidade não foi informada ao TCE e a mepresa contratada, informada no mesmo ofício, não é a que de fat executou o serviço, conforme foi informado no mapa do período de Julho a Setembro de 2015, como concluída. Esclarecemos ainda que o número do processo informado no ofício em questão, é 015/2014 e não 019/2014 e que essa obra não consta do Mapa Anula de 2017, o qual se refere o ofício do Tribunal.</t>
  </si>
  <si>
    <t xml:space="preserve">Encontra-se concluída e informada no mapa do período de Janeiro a março de 2016. Essa obra não consta do Mapa Anual de 2017, o que se refere o ofício do Tribunal. </t>
  </si>
  <si>
    <t xml:space="preserve">O processo foi cancelado e incluído na reprogramação de obra com recurso do Fundo Estadual de Apoio aos Municípios - FEM, para evitar o aporte de recurso do município, visto que havia a disponibilidade de recursos do Estado de Pernambuco. Essa obra não consta do Mapa Anual de 2017, o qual se refere o ofício do tribunal. </t>
  </si>
  <si>
    <t>447/2018</t>
  </si>
  <si>
    <t>138/2018</t>
  </si>
  <si>
    <t>57569/18</t>
  </si>
  <si>
    <t xml:space="preserve">A ordem de serviço foi expedida, porém não foi executada diante da escassez de recurso própio. </t>
  </si>
  <si>
    <t>575/2018</t>
  </si>
  <si>
    <t>203/2018</t>
  </si>
  <si>
    <t>56743/18</t>
  </si>
  <si>
    <t>No TomeConta, em 03/12/2018, há um pagamento de R$ 69.162,70 para a empresa João Gualberto. Novo processo licitatório: TP 009/2017 com a empresa S.A Locações e Construções e Serviços para a conclusão da quadra no valor de R$ 406.497,39. No Tome Conta, em 03/12/2018, não há pagamentos.</t>
  </si>
  <si>
    <t>Nova licitação: Iniciada.</t>
  </si>
  <si>
    <t>No TomeConta, em 03/12/2018, há apenas um pagamento de R$ 28.255,82 em 2018.</t>
  </si>
  <si>
    <t>Esta informação está duplicada na linha 1871. No TomeConta, em 04/12/2018, há 2 pagamentos totalizando R$ 38.786.30.</t>
  </si>
  <si>
    <t>Não apresentou justificativas.</t>
  </si>
  <si>
    <t>Eu acredito que estas 4 são parte da mesma licitação, mas em lotes diferentes pois tem os mesmos números e data de início e  a mesma empresa contratada. Em 06/12/2018, no TomeConta só consta um pagamento de R$ 98.811.98 para as academias de saúde dos 4 distritos.  Na justificativa que o municipio mandou, afirma-se que apenas uma das quatro academias foi concluída (a do Alto Rio Branco). O remanescente das obras foi relicitado.</t>
  </si>
  <si>
    <t>Obra inacabada.</t>
  </si>
  <si>
    <t>No TomeConta, em 04/12/2018, só consta um pagamento e R$ 21.958,41 em 2016. (Como não tem o número do processo no empenho, eu não sei se é o convite de 2014 ou o de 2015)</t>
  </si>
  <si>
    <t>Situação da obra concluída.</t>
  </si>
  <si>
    <t>576/2018</t>
  </si>
  <si>
    <t>136/018</t>
  </si>
  <si>
    <t>56043/18</t>
  </si>
  <si>
    <t xml:space="preserve">O orgão declara a obra como concluída, porém não enviou documentação comprobatória. </t>
  </si>
  <si>
    <t>Como próprio ofício aponta, obra paralisada.</t>
  </si>
  <si>
    <t>577/2018</t>
  </si>
  <si>
    <t>636/2018</t>
  </si>
  <si>
    <t>55319/2018</t>
  </si>
  <si>
    <t>Foram concluídas 4 UBS, restando apenas a conclusão da UBS localizada na rua João Clemente, que se encontra com 79,36% executada, porém a empresa responsável não teve mais o interesse em continuar com a execução da obra, resultando no distrato pelo município, que está providenciando um novo certame para conclusão da obra.</t>
  </si>
  <si>
    <t>578/2018</t>
  </si>
  <si>
    <t>333/2018 - PMT</t>
  </si>
  <si>
    <t>58567/18</t>
  </si>
  <si>
    <t>obra paralisada em virtude de falta de repasse da parcela pertinente ao Estado de Pernambuco</t>
  </si>
  <si>
    <t>Obra encontra-se paralisada devido a falta de repasse da parcela pertinente e de responsabilidade do Estado de Pernambuco.</t>
  </si>
  <si>
    <t>não foi possível encontrar pagamentos referentes ao serviço descrito no TOME CONTAS. Acesso em 29/11/2018.  Obra tida como paralisada.</t>
  </si>
  <si>
    <t>Conforme Mapa demonstrativo do Exercício 2018 - 2º Trimestre, período referencial de Abril a Junho já enviado ao TCE, este serviço ja foi concluído.</t>
  </si>
  <si>
    <t>Os pagamentos verificados no TOME CONTAS (29/11/2018) são considerados irrisórios frente ao valor total da obra, dessa forma a obra é tida como paralisada.</t>
  </si>
  <si>
    <t>Informa que conforme o mapa de obras do 3º trimestre de 2018, a obra se encontra em andamento. Também informa que o atraso deveu-se à necessidade de reprogramação junto a SEPLAG e a Secretaria finalística (CEHAB), onde desde a apresentação do novo plano de trabalho e projeto de reprogramação e a efetiva aprovação denotou considerável tempo e paralisação da obra. Atualmente a obra se encontra em andamento e já evoluiu para o valor de R$ 641.368,09.</t>
  </si>
  <si>
    <t>conforme consulta ao TOME CONTAS (30/11/2018), não houve nenhum pagamento realizado em 2018. Logo, a obra é tida como paralisada.</t>
  </si>
  <si>
    <t>Conforme mapa de obras do 3º trimestre de 2018, esta obra se encontra em andamento, e evoluiu para R$ 648.536,24.</t>
  </si>
  <si>
    <t xml:space="preserve">não foi enviada nenhuma documentação que comprove a conclusão da obra. </t>
  </si>
  <si>
    <t xml:space="preserve">Informa em ofício que, a obra foi concluída e a prestação de contas com uma redução de metas foi entregue e aprovada. </t>
  </si>
  <si>
    <t>o município não enviou informações acerca do novo contrato, de modo que não há como comprovar que os serviços foram concluídos.</t>
  </si>
  <si>
    <t>Em 2016, foi informado que a obra foi distratada, os serviços remanescentes foram licitados e executados. Conforme informado, em 2017, a obra encontra-se concluída, totalmente quitada, o Prédio foi inaugurado e a UBS está em funcionamento. Omotivo do atraso e recontrato com outra empresa dos serviços remanescentes foi que a empresa anterior abandonou a obra, foi notificada, mas não reiniciou o serviço. Conforme o próprio ofício nº 578/2018, a obra ja teve seus serviços concluídos. Atualmente a UBS já possui quase 2 anos de inaugurada e se encontra em pleno funcionamento.</t>
  </si>
  <si>
    <t>448/2018</t>
  </si>
  <si>
    <t>59090/18</t>
  </si>
  <si>
    <t>A empresa contratada não foi encontrada no Tome Conta, sendo impossível verificar se os pagamentos foram realizados.</t>
  </si>
  <si>
    <t>Esta obra encontra-se concluída em 100% fisicamente. Em prestação de contas ao órgão competente (FNDE-MEC)</t>
  </si>
  <si>
    <t>637/2018</t>
  </si>
  <si>
    <t>56806/18</t>
  </si>
  <si>
    <t xml:space="preserve">O orgão disse que não houveram obras e não houve pagamento em 2017, mas a obra ainda tem serviços a serem feitos, assim continua como paralisada. </t>
  </si>
  <si>
    <t xml:space="preserve">A obra da Planilha teve Ordem de Serviço datada de 13/08/2015. Foi executado o total de 34% da obra, mas por escassez de recursos, não foi renovado após a expiração do seu prazo. Não foi executado serviços dessa obra e nenhuma quantia foi paga no exercício de 2017. </t>
  </si>
  <si>
    <t>579/2018</t>
  </si>
  <si>
    <t>111/2018</t>
  </si>
  <si>
    <t>56316/2018</t>
  </si>
  <si>
    <t>Com o distrato do contrato e a espera pela liberação da Caixa Econômica para o início da obra, a obra foi classificada como paralisada pela auditoria</t>
  </si>
  <si>
    <t>Na gestão anterior a empresa não realizou o objeto alegando equívocos no projeto, os serviços de terraplenagem não foram aprovados pela caixa e a obra ficou paralisada sem justificativa. Na gestão atual a contratada foi notificada e houve o distrato do contrato. Nova licitação foi realizada para o mesmo objeto, estando aguardando liberação de início de obra por parte da Caixa Econômica Federal para que a obra seja iniciada.</t>
  </si>
  <si>
    <t>Não foi encontrada a empresa responsável no Tome Conta (19/11/2018), sendo impossível verificar se os pagamentos realmente ocorreram.</t>
  </si>
  <si>
    <t>O pagamento da medição final foi realizado em 08/06/2018, conforme cópia de empenho em anexo</t>
  </si>
  <si>
    <t>A prefeitura não informou o nome da nova empresa que venceu a licitação, nem a modalidade ou qualquer outra informação que permitisse alguma verificação</t>
  </si>
  <si>
    <t>A empresa contratada desistiu de realizar a obra, havendo o distrato do contrato. Foi realizado novo processo licitatório e a obra encontra-se em andamento.</t>
  </si>
  <si>
    <t>Com o distrato do contrato e ainda sem a realização de um novo projeto, a obra encontra-se paralisada.</t>
  </si>
  <si>
    <t>A empresa contratada desistiu de realizar a obra, havendo o distrato do contrato.  A prefeitura está elaborando um novo projeto com o remanescente da obra para que seja realizado um processo licictatório para a conclusão do objeto.</t>
  </si>
  <si>
    <t>Como ainda há pendências sendo resolvidas pelo municípios e os pagamentos verificados no Tome Conta não batem com o valor total do contrato, a conclusão é de obra paralisada.</t>
  </si>
  <si>
    <t>Processo com pendências de ordem técnicas junto à Caixa Econômica Federal, mandatária do Ministério do Turismo. As pendências estão sendo providenciadas pelo município para atendimento junto à CEF.</t>
  </si>
  <si>
    <t>A prefeitura não deu informações além de que o contrato previsto foi extinto.</t>
  </si>
  <si>
    <t>O contrato foi extinto pelo término do prazo previsto para a conclusão da obra</t>
  </si>
  <si>
    <t>A obra não foi iniciada, não havendo registros de pagamento no Tome Conta.</t>
  </si>
  <si>
    <t>O contrato foi extinto pelo término do prazo previsto para a conclusão da obra. A obra não foi iniciada, não houve empenho nem medição, os valores do projeto estavam defasados. A prefeitura concluiu em 2017 um projeto de manutenção das escolas do município e já possui outro em fase de licitação neste ano. A prefeitura informa que já respondeu este item quando questionada pelo Ofício TC-NEG nº 566/2017, que foi mandado em anexo. No ofício em questão, a Prefeitura informou que a obra não iniciou e que o processo havia sido cancelado.</t>
  </si>
  <si>
    <t>No Tome Conta consta um pagamento irrisório comparado ao valor inicial do contrato. Como a prefeitura informou que será realizado um novo processo licitatório, a obra ainda se encontra paralisada.</t>
  </si>
  <si>
    <t>A empresa contratada desistiu de realizar a obra, rescindindo-se o contrato. A prefeitura está elaborando um novo projeto com o remanescente da obra para que seja rezliado um novo processo licitatório para a conclusão do objeto.</t>
  </si>
  <si>
    <t>Não foi comprovado (por fotos de boletim de medição, comprovante de pagamento) que a obra realmente foi concluída, sendo por isso classificada como paralisada até comprovação.</t>
  </si>
  <si>
    <t>A obra foi concluída, porém não houve o repasse final por parte do FNDE, de modo que o município não pode realizar o pagamento final à empresa.</t>
  </si>
  <si>
    <t>Não houve comprovação de que a obra estaria atualmente em execução pelo município, sendo impossível verificar a veracidade da alegação.</t>
  </si>
  <si>
    <t>Obra inacabada na gestão anterior, o contrato foi extinto pelo término do prazo previsto para a conclusão da obra. Atualmente a obra está sendo executada de forma direta pelo município. O item já foi respondido quanto questionado pelop TC-NEG 566/2017. No Ofício referido, a Prefeitura confirmou que a obra estava paralisada, não havendo empenhos para sequenciar a execução do objeto. Novo projeto executivo, com previsão orçamentária para 2018 teria licitação ainda em 2017 e teria início em março de 2018 por recursos próprios.</t>
  </si>
  <si>
    <t>A Prefeitura não forneceu nenhuma informação além de que o contrato foi cancelado, sendo, por isso, concluído que a obra está atualmente paralisada.</t>
  </si>
  <si>
    <t>Obra/contrato cancelado por erro no projeto básico.</t>
  </si>
  <si>
    <t>Impossível verificar a informação dada pela Prefeitura, classificando, por isso, a obra como paralisada.</t>
  </si>
  <si>
    <t>O contrato foi extinto pelo término do prazo previsto para a conclusão da obra, os valores do projeto estava mdefasados. A Prefeitura concluiu em 2017 um projeto de manutenção das escolas do município, tendo outro em fase de licitação em 2018.</t>
  </si>
  <si>
    <t xml:space="preserve">O contrato foi extinto pelo término do prazo previsto para a conclusão da obra. A obra não foi iniciada, não houve empenho nem medição, os valores do projeto estavam defasados. A prefeitura concluiu em 2017 um projeto de manutenção das escolas do município e já possui outro em fase de licitação neste ano. </t>
  </si>
  <si>
    <t>638/2018</t>
  </si>
  <si>
    <t>034/2018</t>
  </si>
  <si>
    <t>59494/18</t>
  </si>
  <si>
    <t>A prefeitura apenas mencionou que o contrato foi rescindido de maneira amigável, não fornecendo nenhuma outra informação a respeito do andamento da obra e de como se concluiria o serviço. Consideraremos a obra paralisada.</t>
  </si>
  <si>
    <t>Foi realizada a rescisão do contrato da empresa Mênfis Engenharia LTDA, responsável pela obra indicada.</t>
  </si>
  <si>
    <t>584/2018</t>
  </si>
  <si>
    <t>037/2018</t>
  </si>
  <si>
    <t>57881/2018</t>
  </si>
  <si>
    <t>No TomeConta, em 28/11/2018, consta pagamentos no total de R$ 218.870,33 (43% do contrato).</t>
  </si>
  <si>
    <t>A obra foi distratada com a Construtora Seta e feito novo procedimento licitatório com a Construtora Santos. (vide TP 01/2016)</t>
  </si>
  <si>
    <t>Não há pagamentos no TomeConta, em 28/11/2018.</t>
  </si>
  <si>
    <t>A obra não foi iniciada porque a fonte de captação de água é insuficiente para a demanda existente, precisando ser ampliada. Devido a isso, o convenio será encerrado e prestado contas a FUNASA.</t>
  </si>
  <si>
    <t>585/2018</t>
  </si>
  <si>
    <t>32/2018</t>
  </si>
  <si>
    <t>55972/18</t>
  </si>
  <si>
    <t xml:space="preserve">Obra declarada pelo orgão como finalizada, porém sem nenhuma documentação comprobatória. Paralisada. </t>
  </si>
  <si>
    <t xml:space="preserve">Tal obra foi finalizada, tendo todas as ruas contempladas a sua execução, por meio de convênio com Caixa Econômica Federal. </t>
  </si>
  <si>
    <t>587/2018</t>
  </si>
  <si>
    <t>134/2018</t>
  </si>
  <si>
    <t>56659/18</t>
  </si>
  <si>
    <t>Foi impossível fazer a verificação de pagamento pois a empresa contratada não foi identificada no Tome Conta. Por este motivo, consideraremos a obra paralisada.</t>
  </si>
  <si>
    <t>Obra concluída com redução de metas</t>
  </si>
  <si>
    <t>Não foi encontrada menção à obra no Tome Conta, sendo impossível fazer a verificação do pagamento.</t>
  </si>
  <si>
    <t>Obra concluida e com sua prestação de contas devidamente aprovada pela Caixa Econômica Federal, extrato extraído do site da CEF, na aba "Poder público - Acompanhamento de Recursos para Obras". Trata-se de recursos destinados ao município pelo Ministério do Turismo para pavimentação das ruas citadas ao lado. Durante o transcorrer da execução da obra houveram alguns atrasos nos repasses, fatos que foram sanados e devidamente quitados.</t>
  </si>
  <si>
    <t>O município não forneceu informações a respeito da nova empresa que foi contratada depois da expiração do contrato inicial, sendo impossível fazer a verificação do pagamento no Tome Conta.</t>
  </si>
  <si>
    <t>Não houve liberação dos recursos financeiros por parte do órgão concedente (FUNASA), expirando o prazo do contrato da empresa vencedora, que a mesma não quis continuar a obra forçando a administração a abrir uma nova licitação para o mesmo objeto no exercício 2017. A obra já se encontra em execução conforme mapa de prestação de contas do 3º trimestre</t>
  </si>
  <si>
    <t>A obra está paralisada devido à falta de liberação com CPRH da Licença de Instalação de fossa séptica e filtro sumidouro. Conseguimos a licença nº 02.17.03.001117 a obra já foi reiniciada.</t>
  </si>
  <si>
    <t>o CNPJ indicado é referente à empresa que venceu o certame licitatório, cujo objeto seria a colocação de placas de identificação nas ruas citadas ao lado, contudo, a executora da obra de pavimentação da sinalização, visto que se tratou aqui de recursos oriundos do Ministério das Cidades e, por isso, a empresa vencedora da obra (citada no item 4) tinha por obrigação implantar essa sinalização</t>
  </si>
  <si>
    <t>588/2018</t>
  </si>
  <si>
    <t>222/2018</t>
  </si>
  <si>
    <t>59865/18</t>
  </si>
  <si>
    <t>Busca realizada no TOME CONTAS, em 03/12/2018, verificou-se que os pagamentos referentes ao contrato em questão não totalizam  o valor contratado. Dessa maneira não foi possível confirmar a conclusão da obra, de forma que a mesma permanece como inacabada.</t>
  </si>
  <si>
    <t>O contrato nº 02/2014 celebrado entre o município e a empresa mav consultoria e serviços LTDA.  Encontra-se com execução 100% concluída</t>
  </si>
  <si>
    <t>Não fei enviado nenhum termo de recebimento definitivo de obra que comprove sua finalização. Busca realizada no TOME CONTAS, em 03/12/2018, também não encontrou a empresa em questão, de forma que não foi possível comprovar sua execução.</t>
  </si>
  <si>
    <t>O contrato nº 19/2012 celebrado entre o município de vicência e a empresa e a empresa  TR CONSTRUÇÃO LTDA.  Referente à obra de construção de uma unidade básica de saúde tipo I, comunidade cristã, tejo, tem o seu termo de recebimento definitivo datado de 20 de setembro de 2017, restando o aguardo da liberação de recursos para a quitação dos débitos restantes com a contratada.</t>
  </si>
  <si>
    <t>Obra paralisada, conforme consta na resposta.</t>
  </si>
  <si>
    <t>Devido à má execução e a notificação dos órgãos de controle (TCE E MPE) o ato da gestão foi devolver o recurso e aguardar os procedimentos jurídicos</t>
  </si>
  <si>
    <t>Conforme a informação prestada a obra foi cancelada, ou seja, não concluida.</t>
  </si>
  <si>
    <t>A obra em questão foi cancelada, com base no parecer jurídico nº 31/2017 da procuradoria jurídica do município, que na análise dos autos verificou a impossibilidade da dilatação de prazo, uma vez que o último aditivo foi realizado em 16/07/2016 com prazo de 120 dias, e no início da nova gestão em janeiro de 2017 já havia expirado o prazo máximo de 180 dias (consecutivos ou initerruptos) para um novo aditivo ou prorrogação do contrato.</t>
  </si>
  <si>
    <t>Em busca realizada no TOME CONTAS, em 03/12/2018, verificou-se que os pagamentos realizados para o contrato em questão não totalizam o valor contratado. Assim a obra continua identificada como paralisada, visto não ser possível comprovar sua conclusão pelos dados apresentados pelo município.</t>
  </si>
  <si>
    <t>No início da gestão em 2017, a obra constava concluída.</t>
  </si>
  <si>
    <t>Não foi encaminhado nenhum documente que comprove a conclusão da obra.</t>
  </si>
  <si>
    <t>A obra encontra-se com execução de 100%, aguardando recursos pendentes para posterior prestação de contas.</t>
  </si>
  <si>
    <t>consulta realizada no TOME CONTAS, em 03/12/2018, mostram pagamento de 15.408,10, o que não totaliza o valor contratado, de forma que não é possível identificar a obra como concluída.</t>
  </si>
  <si>
    <t>Uma das empresas do consórcio, a JCL Engenharia, não foi encontrada no Tome Conta. A outra empresa, Construcaj Construção LTDA, não recebeu nenhum pagamento da Secretaria de Turismo, Esporte e Lazer.. Desta maneira, é impossível realizar a verificação do pagamento no Tome Conta.</t>
  </si>
  <si>
    <t xml:space="preserve"> atualmente a obra encontra-se em andamento</t>
  </si>
  <si>
    <t>Não Houve Resposta</t>
  </si>
  <si>
    <t>Obra paralisada. Aguardando finalização das obras da Compesa.</t>
  </si>
  <si>
    <t>Obra concluída. Aguardando funcionalidade pela CAIXA/Min CIdades</t>
  </si>
  <si>
    <t>Não apresentou justificativa para o saldo de contrato de R$10,5 milhões.</t>
  </si>
  <si>
    <t>Obra concluída. Aguardando funcionalidade da CAIXA. As 148 unidades foram migradas para o PMCMV, não sendo assim executada nesse contrato.</t>
  </si>
  <si>
    <t>Não justificou qual a solução para execução do remanescente de obra.</t>
  </si>
  <si>
    <t>Concluída. As 72 unidades foram migradas para o PMCMV.</t>
  </si>
  <si>
    <t>Não apresentou qual o modo que o remanescente de obra será executado.</t>
  </si>
  <si>
    <t>Paralisada. Aguardando visita da CAIXA para atestar funcionalidade.</t>
  </si>
  <si>
    <t>Não apresentou como será realizado o remanescente de obra.</t>
  </si>
  <si>
    <t>Contrato distratado. Remanescente foi licitado.</t>
  </si>
  <si>
    <t>Não apresentou qual licitação nem tanpouco a situação atual.</t>
  </si>
  <si>
    <t>Paralisada. Remanescente sob contrato 003/2012, CC008/2010-CEL, J.A.G. Empreendimentos Ltda, Valor: R$ 19.398.081,56, já também distratado. Será elaborada nova licitação.</t>
  </si>
  <si>
    <t>Em andamento. Remanescente sob Contrato com a Saint Enton, Valor: R$ 25.523.300,40, OS: 28/03/2012, valor pago: R$9.434.795,82, retomada em m31/07/2018.</t>
  </si>
  <si>
    <t>Não foi apresentada nos mapas de obra contratada com a Saint Enton.</t>
  </si>
  <si>
    <t>Não foi apresentada nos mapas de obra contratada com a J.A.G..</t>
  </si>
  <si>
    <t>Obra está paralisada por falta de recursos da contrapartida.</t>
  </si>
  <si>
    <t>Não apresentou justificativa para o valor não pago de R$ 4.168.831,93 (42% do valor do contrato).</t>
  </si>
  <si>
    <t>Paralisada. Contrato distratado. Os recursos serão devolvidos.</t>
  </si>
  <si>
    <t>Não apresentou comprovação da devolução dos recursos.</t>
  </si>
  <si>
    <t>Não há pagamentos suficientes para justificar que a obra está em andamento.</t>
  </si>
  <si>
    <t>Paralisada. Distratada, aguardando funcionalidade da CAIXA.</t>
  </si>
  <si>
    <t>Distratada, aguardando novo orçamento para nova licitação.</t>
  </si>
  <si>
    <t>Paralisada. Em fase de devolução financeira.</t>
  </si>
  <si>
    <t>Não comprovou o pagamento/medição do saldo de contrato.</t>
  </si>
  <si>
    <t>Cancelada.</t>
  </si>
  <si>
    <t>Não apresentou justificativa para o saldo de contrato de mais de R$300 mil.</t>
  </si>
  <si>
    <t>Paralisada por falta de recursos para contrapartida. É remanescente do contrato 010/2010, com a Duarte Carvalho Empreendimentos Ltda.</t>
  </si>
  <si>
    <t>Obra não localizada no nosso banco de dados.</t>
  </si>
  <si>
    <t>Obra paralisada por falta de recursos para a contrapartida.</t>
  </si>
  <si>
    <t>Última justificativa recebida: "Distratado desde 23/05/2014. Aguardando reprogramação para licitar."</t>
  </si>
  <si>
    <t>Última Justificativa recebida em 2017: "Obra paralisada por falta de frentes de serviço devido às desapropriações." e o valor do contrato apresentado na resposta não bate com aquele apresentado no mapa de 2016.</t>
  </si>
  <si>
    <t>Obra concluída. Remanescente de obra do contrato com a Delta Construções, de 2008, no valor de: R$18.094.145,45.</t>
  </si>
  <si>
    <t>Obra cancelada.</t>
  </si>
  <si>
    <t>Não foi apresentada justificativa para o cancelamento nem quanto à devolução dos recursos.</t>
  </si>
  <si>
    <t>Obra paralisada por falta de recursos da contrapartida.</t>
  </si>
  <si>
    <t>Paralisada. Aguardando ordem de serviço.</t>
  </si>
  <si>
    <t>Não houve justificativa para os valores pagos.</t>
  </si>
  <si>
    <t>Falta pagamento do BM 01 R$ 10.812,71. Após recebimento a empresa alega que retomará a obra.</t>
  </si>
  <si>
    <t>Por falta de pagamento dos BM 01 e 02 a construtora informou não haver interesse em continuar a obra.</t>
  </si>
  <si>
    <t>Rescisão contratual.</t>
  </si>
  <si>
    <t>A obra está concluída com funcionalidade pela CAIXA e Compesa. Falta instalação do Booster.</t>
  </si>
  <si>
    <t>Não justificou o saldo de contrato de R$ 2.991.107,01 (62% do valor do contrato).</t>
  </si>
  <si>
    <t>A obra está paralisada por falta de recursos de contrapartida.</t>
  </si>
  <si>
    <t>Obra paralisada desde nov/2017 em virtude de falta de pagamento.</t>
  </si>
  <si>
    <t>Obra paralisada por pendência financeira.</t>
  </si>
  <si>
    <t>Paralisada por pendências financeiras junto à contratada.</t>
  </si>
  <si>
    <t>Não justificou o baixo desembolso financeiro.</t>
  </si>
  <si>
    <t>Não justificou a ausência de desembolso.</t>
  </si>
  <si>
    <t>57.144/18</t>
  </si>
  <si>
    <t>Os 5 lotes estão inacabados, com contratos expirados, empresas notificadas em 24/08/2017, e solicitado tomada de contas especial para a CAIXA em 29/08/2018.</t>
  </si>
  <si>
    <t>Obra em andamento. Valor pago em 2018 R$ 173.984,39.</t>
  </si>
  <si>
    <t>Não há pagamentos lançados no Tome Conta em 2018, em pesquisa realizada em 12/12/2018.</t>
  </si>
  <si>
    <t>Obra paralisada. Contrato expirado. O gestor atual representou ação de improbidade junto ao MPF contra o gestor anterior.</t>
  </si>
  <si>
    <t>Distrato com empresa. Em reprogramação para dar continuidade em novo processo licitatório.</t>
  </si>
  <si>
    <t>Andamento. Pago R$ 278.599,19 em 2018.</t>
  </si>
  <si>
    <t>Em consulta no Tome Conta em 12/12/2018 , não foram identificados pagamento no exercício 2018.</t>
  </si>
  <si>
    <t>Em andamento. Houve pagamento em 2018 na importância de R$ 97.149,34.</t>
  </si>
  <si>
    <t>Concluída. Pagamento realizado em 2017 na importâncai de 57636,19.</t>
  </si>
  <si>
    <t>Não justificou o saldo de contrato na importâncai de R$70.868,72 (47,7% do valor do contrato).</t>
  </si>
  <si>
    <t>Em consulta ao Tome Conta em 17/12/2018 não foram identificados pagamentos relativos ao contrato.</t>
  </si>
  <si>
    <t>Concluído. Termo de recebimento definitivo em 23/09/2016.</t>
  </si>
  <si>
    <t>No Rome conta em 17/12/18, só foi identificado pagamento na importância de R$ 2.395.156,43.</t>
  </si>
  <si>
    <t>Paralisado. Aguardando parecer de reprogramação da CAIXA.</t>
  </si>
  <si>
    <t>Paralisada para ajustes na planilha, por divergências com o projeto.</t>
  </si>
  <si>
    <t>Não foram apresentados pagamento em 2018.</t>
  </si>
  <si>
    <t>Não há pagamentos no Tome Conta em 2018.</t>
  </si>
  <si>
    <t>Rescindido.</t>
  </si>
  <si>
    <t>Distratado.</t>
  </si>
  <si>
    <t>Foram identificados paramentos em 2018, no Tome Conta, em 17/12/2018, de apenas R$ 40.803,05.</t>
  </si>
  <si>
    <t>Não foram identificados pagamentos, em 17/12/2018, no Tome Conta, em 2018.</t>
  </si>
  <si>
    <t>Obra passou para o DER/PE</t>
  </si>
  <si>
    <t>546/2018</t>
  </si>
  <si>
    <t>223/2018</t>
  </si>
  <si>
    <t>61782/18</t>
  </si>
  <si>
    <t>Contrato foi rescindido e realizada nova contratação através de nova licitação com remanescente de obra.</t>
  </si>
  <si>
    <t>Não apresentou novo contrato. Nem foram identificados pagamentos para esta obra em 2018, no Toma Conta, em 17/12/2018.</t>
  </si>
  <si>
    <t>Obra concluída com termo de entrega de 15/11/2016.</t>
  </si>
  <si>
    <t>Não apresentou motivação para o saldo de contrato de mais de 20%.</t>
  </si>
  <si>
    <t>Obra da gestão anterior que não teve continuidade na atual devido aos problemas encontrados.</t>
  </si>
  <si>
    <t>Obra concluída com termo de entrega de 15/09/2015.</t>
  </si>
  <si>
    <t>Não apresentou motivação para o saldo de contrato de mais de 30%.</t>
  </si>
  <si>
    <t>561/2018</t>
  </si>
  <si>
    <t>228/2018</t>
  </si>
  <si>
    <t>56826/18</t>
  </si>
  <si>
    <t>A obra encontra-se aguardando recursos do FNDE que estão suspensos por pendências de outra obra do mesmo convênio que estáo sendo sanadas.</t>
  </si>
  <si>
    <t>Na pasta da obra, deixada pela gestão anterior, existem valores pagos a maior que o valor do contrato, sem aditivos.</t>
  </si>
  <si>
    <t>Não informou quanto à conclusão da obra.</t>
  </si>
  <si>
    <t>Gestão anterior não deixou nenhum documento de pagamento na pasta da obra.</t>
  </si>
  <si>
    <t>Gestão anterior dexou pasta da obra incompleta, com valor pago de R$291.477,45, e nenhum termo de rescisão contratual.</t>
  </si>
  <si>
    <t>Gestão anterior deixou pasta incompleta, com valor pago de R$81.019,10, sem termo de recebimento da obra.</t>
  </si>
  <si>
    <t>Gestão anterior deixou pasta incompleta, com dois BM's de R$23.668,68 e R$32.121,78, sem termo de recebimento da obra.</t>
  </si>
  <si>
    <t>no Tome Conta consta apenas dois pagamentos irrisórios considerando o valor total da obra, mesmo antes do distrato ter ocorrido.</t>
  </si>
  <si>
    <t>PREGÃO PRESENCIAL 001/2016</t>
  </si>
  <si>
    <t>CONSTRUÇÃO DE UMA CRECHE PADRÃO FNDE TIPO 2 NESTE MUNICÍPIO</t>
  </si>
  <si>
    <t>11042/2014</t>
  </si>
  <si>
    <t>GM RAMOS CONSTRUÇÕES LTDA - ME</t>
  </si>
  <si>
    <t>Informado na resposta ao ofício do NEG.</t>
  </si>
  <si>
    <t>CONSTRUÇÃO DE QUADRA COBERTA COM VESTIÁRIO (25,80X38m), PADRÃO FNDE, NESTE MUNICÍPIO.</t>
  </si>
  <si>
    <t>9547/2014</t>
  </si>
  <si>
    <t>AS SOUZA CONSTRUTORA LTDA EPP</t>
  </si>
  <si>
    <t>Percentual de 30,51% executado, a convenente so repassou 29% do valor acordado. A empresa não teve interesse em continuar a obra.</t>
  </si>
  <si>
    <t>Percentual de 50% executado, a convenente so repassou 29% do valor acordado. A empresa não teve interesse em continuar a obra.</t>
  </si>
  <si>
    <t>070/2018</t>
  </si>
  <si>
    <t>Inacabada. Contrato findou vigência em 23/07/2013. Há Auditoria Especial do TC. 1750467-3.</t>
  </si>
  <si>
    <t>Obra concluída. Saldo de contrato não foi pago por que ex-gestor deixou o convênio vencer e os recursos foram devolvidos à CAIXA.</t>
  </si>
  <si>
    <t>Não há pagamentos no Tome Conta.</t>
  </si>
  <si>
    <t>Administração verificando situação da obra.</t>
  </si>
  <si>
    <t>512/2018</t>
  </si>
  <si>
    <t>058/2018</t>
  </si>
  <si>
    <t>59091/18</t>
  </si>
  <si>
    <t>Obra resmanescente da gestão anterior, por ajustes no convênio teve algum atraso, em execução.</t>
  </si>
  <si>
    <t>Valor pago identificado no Tome Conta, em 18/12/2018, de apenas R$250.199,00 (3% do valor do contrato).</t>
  </si>
  <si>
    <t>Paralisada. Distratada. Novos projetos em execução.</t>
  </si>
  <si>
    <t>Concluídos em 2017.</t>
  </si>
  <si>
    <t>Foi identificado no Tome Conta pagamento, apenas em 2017, de R$ 107.128,34 (71,66%) e não justificou saldo de contrato.</t>
  </si>
  <si>
    <t>Obra paralisada por indisponibilidade financeira,  com 90% realizada.</t>
  </si>
  <si>
    <t>Valor pago identificado no Tome Conta, em 19/12/2018, de  R$686.220,95 (14% do valor do contrato), no exercício 2018, e R$535.000,00 (11%), em 2017, indicando obra em rítmo muito lento.</t>
  </si>
  <si>
    <t>Obra paralisada na gestão anterior, a documentação não foi encontrada e as empresas não se apresentaram à administração.</t>
  </si>
  <si>
    <t>RECAPEAMENTO ASFALTICO DA AVENIDA NILO COELHO, NA SEDE</t>
  </si>
  <si>
    <t>fem</t>
  </si>
  <si>
    <t>INCABADA</t>
  </si>
  <si>
    <t>Cadastrada em razão da resposta ao ofício do NEG.</t>
  </si>
  <si>
    <t>Inacabada. Empresa abandonou a obra antes da sinalização horizontal. Nova licitação em realização.</t>
  </si>
  <si>
    <t>Em consulta realizada ao Tome Conta, em 20/12/18, não foram identificados pagamentos referente a esta obra desde 2014, assim como a administração não apresentou documentação comprobatória.</t>
  </si>
  <si>
    <t>09.477.628/0001-57</t>
  </si>
  <si>
    <t>Em consulta realizada ao Tome Conta, em 20/12/18, foram identificados pagamentos referente a esta obra na importância de R$268.933,16, de 2012 a 2015, restando saldo de R$68.687,48 (20% do valor do contrato) sem justificativa.</t>
  </si>
  <si>
    <t>A administração não apresentou em qual obra esses serviços foram inseridos, nem se esta foi concluída.</t>
  </si>
  <si>
    <t>Obra concluída e informada no mapa de 2015.</t>
  </si>
  <si>
    <t>Contrato rescindido. Houve nova licitação (TP013/2015) para continuidade do serviço.</t>
  </si>
  <si>
    <t>Não foi possível identificar tal contrato de remanescente dentro dos mapas de 2014 a 2017.</t>
  </si>
  <si>
    <t>Em 20/12/2018, em consulta ao Tome Conta, foram identificados pagamentos de apenas R$ 19.669,43 (apenas 25% do valor do contrato), nos exercícios 2013 e 2015, sem justificativa da administração.</t>
  </si>
  <si>
    <t>Em 20/12/2018, em consulta ao Tome Conta, não foram identificados pagamentos para este objeto, sem justificativa da administração.</t>
  </si>
  <si>
    <t>03 UBS estão finalizadas, apenas 01 está paralisada aguardando repasse do convênio.</t>
  </si>
  <si>
    <t>Paralisada. Aguardando resolução de pendências junto à CAIXA.</t>
  </si>
  <si>
    <t>464/2018</t>
  </si>
  <si>
    <t>55409/18</t>
  </si>
  <si>
    <t>Foram realizados ajustes no projeto estrutural. Obra aguardando resposta da CAIXA quanto a reprogramação.</t>
  </si>
  <si>
    <t>Obra inserida após resposta ao ofício do NEG</t>
  </si>
  <si>
    <t>435/2018</t>
  </si>
  <si>
    <t>013/2018</t>
  </si>
  <si>
    <t>54724/18</t>
  </si>
  <si>
    <t>Apresentou mapa de obras de 2017 em resposta ao ofício do NEG, sem pagamentos realizados no ano de 2017 e sem justificativa acostada.</t>
  </si>
  <si>
    <t>540/2018</t>
  </si>
  <si>
    <t>098/2018</t>
  </si>
  <si>
    <t>64142/18</t>
  </si>
  <si>
    <t>Contrato distratado. Novo processo licitatório: Concorrência 001/2018, resultou em contratação de nova empresa, sob nº 054/2018, no valor de R$ 1.610.694,44, iniciada em 26/02/2018.</t>
  </si>
  <si>
    <t>Não há empenhos pagos à empresa Drena Construções e Locações, vencedora da CC 001/2018, no Tome Conta, no exercício 2018.</t>
  </si>
  <si>
    <t>Obra concluída e em pleno funcionamento.</t>
  </si>
  <si>
    <t>Em consulta ao TOME CONTA, em 08/01/2018, foram identificados pagamentos de apenas R$ 334.402,98 (71% do valor do contrato), sem justificativa do saldo de contrato.</t>
  </si>
  <si>
    <t>Em consulta ao TOME CONTA, em 08/01/2018, foram identificados pagamentos de apenas R$ 237.672,78 (47% do valor do contrato), sem justificativa do saldo de contrato.</t>
  </si>
  <si>
    <t>Em consulta ao TOME CONTA, em 08/01/2018, foram identificados pagamentos de apenas R$ 36.249,38 (41% do valor do contrato), sem justificativa do saldo de contrato.</t>
  </si>
  <si>
    <t>346/2018</t>
  </si>
  <si>
    <t>64576/18</t>
  </si>
  <si>
    <t>Obra concluída e por terem saldo remanescente foram citados no mapa como "em andamento".</t>
  </si>
  <si>
    <t>apresentou argumentação genérica e não apresentou documentos comprobatórios específicos.</t>
  </si>
  <si>
    <t>Valores identificados no Tome CONTA, em 09/01/2019, alcançam R$ 1.197.864,04 e a administração não apresentou informações complementares de dados do contrato, inclusive valor.</t>
  </si>
  <si>
    <t>545/2018</t>
  </si>
  <si>
    <t>442/2018</t>
  </si>
  <si>
    <t>64096/18</t>
  </si>
  <si>
    <t>Concluída em 2015.</t>
  </si>
  <si>
    <t>Inacabada e fiscalizada pelo TCE, aguardando relatório dos órgãos competentes.</t>
  </si>
  <si>
    <t>Concluída em 2016.</t>
  </si>
  <si>
    <t>Não apresentou justificativa para o saldo de contrato de 58,5% do contrato.</t>
  </si>
  <si>
    <t>Não apresentou justificativa para o saldo de contrato de 81,5% do contrato.</t>
  </si>
  <si>
    <t>Não apresentou justificativa para o saldo de contrato de 70,1% do contrato.</t>
  </si>
  <si>
    <t>Não apresentou justificativa para o saldo de contrato de 21,1% do contrato.</t>
  </si>
  <si>
    <t>Não apresentou justificativa para o saldo de contrato de 38,5% do contrato.</t>
  </si>
  <si>
    <t>SITUAÇÃO DECLARADA</t>
  </si>
  <si>
    <t>245/2018</t>
  </si>
  <si>
    <t>65653/18</t>
  </si>
  <si>
    <t>Solicito que seja considerado o termo concuído no lugar de em andamento.</t>
  </si>
  <si>
    <t>Não apresentou justificativa para o saldo de contrato, tampouco as informações que faltam.</t>
  </si>
  <si>
    <t>Não apresentou as informações que faltam no mapa de obras.</t>
  </si>
  <si>
    <t>567/2018</t>
  </si>
  <si>
    <t>256/2018</t>
  </si>
  <si>
    <t>65923/18</t>
  </si>
  <si>
    <t>Contrato rescindido, segunda colocada convocada para a conclusão dos serviços.</t>
  </si>
  <si>
    <t>Obra fisicamente concluída, aguardando repasse do Fem para pagamento das demais parcelas.</t>
  </si>
  <si>
    <t>Contrato rescindido, em abertura de novo processo para conclusão dos serviços.</t>
  </si>
  <si>
    <t>Em consulta ao Tome Conta, em 09/01/18, não existem pagamentos para esse serviço.</t>
  </si>
  <si>
    <t>477/2018</t>
  </si>
  <si>
    <t>54802/18</t>
  </si>
  <si>
    <t>498/2018</t>
  </si>
  <si>
    <t>506/2018</t>
  </si>
  <si>
    <t>444/2018</t>
  </si>
  <si>
    <t>468/2018</t>
  </si>
  <si>
    <t>473/2018</t>
  </si>
  <si>
    <t>644/2018</t>
  </si>
  <si>
    <t>454/2018</t>
  </si>
  <si>
    <t>489/2018</t>
  </si>
  <si>
    <t>499/2018</t>
  </si>
  <si>
    <t>504/2018</t>
  </si>
  <si>
    <t>505/2018</t>
  </si>
  <si>
    <t>597/2018</t>
  </si>
  <si>
    <t>508/2018</t>
  </si>
  <si>
    <t>511/2018</t>
  </si>
  <si>
    <t>600/2018</t>
  </si>
  <si>
    <t>601/2018</t>
  </si>
  <si>
    <t>608/2018</t>
  </si>
  <si>
    <t>445/2018</t>
  </si>
  <si>
    <t>549/2018</t>
  </si>
  <si>
    <t>551/2018</t>
  </si>
  <si>
    <t>568/2018</t>
  </si>
  <si>
    <t>609/2018</t>
  </si>
  <si>
    <t>469/2018</t>
  </si>
  <si>
    <t>606/2018</t>
  </si>
  <si>
    <t>580/2018</t>
  </si>
  <si>
    <t>Ofício TCE</t>
  </si>
  <si>
    <t>482/2018</t>
  </si>
  <si>
    <t>559/2018</t>
  </si>
  <si>
    <t>110/2018</t>
  </si>
  <si>
    <t>004/19</t>
  </si>
  <si>
    <t>No Tome Conta, em 10/01/2018, foram identificados apenas pagamentos até 2016 na monta de R$ 1.229.111,49 (87,92% do valor do contrato), sem justificativa para o saldo de contrato.</t>
  </si>
  <si>
    <t>No Tome Conta, em 10/01/2018, foram identificados apenas pagamentos até 2013 na monta de R$ 55.951,19 (2,7% do valor do contrato), sem justificativa para o saldo de contrato.</t>
  </si>
  <si>
    <t>No Tome Conta, em 10/01/2018, foram identificados apenas pagamentos até 2015 na monta de R$ 2.849.511,32 (31,15% do valor do contrato), sem justificativa para o saldo de contrato.</t>
  </si>
  <si>
    <t>No Tome Conta, em 10/01/2018, foram identificados apenas pagamentos até 2015 na monta de R$ 1.962.923,15 (42,67% do valor do contrato), sem justificativa para o saldo de contrato.</t>
  </si>
  <si>
    <t>No Tome Conta, em 10/01/2018, foram identificados apenas pagamentos até 2015 na monta de R$ 448.227,03 (12,45% do valor do contrato), sem justificativa para o saldo de contrato.</t>
  </si>
  <si>
    <t>No Tome Conta, em 10/01/2018, foram identificados apenas pagamentos até 2015 na monta de R$ 41.394,92 (1,98% do valor do contrato), sem justificativa para o saldo de contrato.</t>
  </si>
  <si>
    <t>478/2018</t>
  </si>
  <si>
    <t>491/2018</t>
  </si>
  <si>
    <t>643/2018</t>
  </si>
  <si>
    <t>645/2018</t>
  </si>
  <si>
    <t>544/2018</t>
  </si>
  <si>
    <t>200/2018-GC06/NEG</t>
  </si>
  <si>
    <t>605/2018</t>
  </si>
  <si>
    <t>563/2018</t>
  </si>
  <si>
    <t>Fundo de Previdência de São José do Belmonte</t>
  </si>
  <si>
    <t>412/2018</t>
  </si>
  <si>
    <t>Execução de serviços de engenharia civil relativos à drenagem de águas pluviais nas ruas: 11, 12, 13, 14, 15 e Avenida Principal do bairro Vila Eulália.</t>
  </si>
  <si>
    <t>Contrato rescindido e objeto a ser relicitado.</t>
  </si>
  <si>
    <t>Contrato rescindido, e relicitado, tendo como vencedora a empresa Oliveira Dias, outrora rescindido, objeto a ser relicitado.</t>
  </si>
  <si>
    <t>Execução de serviços de engenharia relativos à reforma da Praça Pastor José Ferreira e Pavimentação asfáltica da rua Imperador do bairro Vila Mocó.</t>
  </si>
  <si>
    <t>Obra encerrada, porém sem concluir 100% por um problema com a COMPESA.</t>
  </si>
  <si>
    <t>Concluída. Processo não encontrado nos arquivos.</t>
  </si>
  <si>
    <t>Pavimentação em paralelepípedo graníticos na Travessa da rua 09 no bairro Jardim Amazonas.</t>
  </si>
  <si>
    <t>Não apresentou justificativas ou explicações para o saldo contratual.</t>
  </si>
  <si>
    <t>Não foram identificados no Tome Conta, em 10/01/2019, valores pagos em 2018 que justifiquem a obra estar em andamento.</t>
  </si>
  <si>
    <t>Não foram identificados no Tome Conta, em 11/01/2019, valores pagos em 2018 que justifiquem a obra estar em andamento.</t>
  </si>
  <si>
    <t>Reforma da quadra poliesportiva no povoado do Cupim.</t>
  </si>
  <si>
    <t>Reforma da praça Pastor José Ferreira e pavimentação asfáltica da rua Imperador no bairro Mocó.</t>
  </si>
  <si>
    <t>e-mail 03/12/2018
pedrocoelho@tce.pe.gov.br</t>
  </si>
  <si>
    <t>paralisada como consta na informação enviada.</t>
  </si>
  <si>
    <t>paralisada recurso não liberado (SEPLAG-PE)</t>
  </si>
  <si>
    <t>obra em axecução</t>
  </si>
  <si>
    <t>em andamento 
falta ordem de serviço</t>
  </si>
  <si>
    <t>TOME CONTAS, acesso em 11/01/2019, não consta pagamentos no ano de 2018. Dessa forma a obra é tida como paralisada.</t>
  </si>
  <si>
    <t>TOME CONTAS, acesso em 11/01/2019, não consta nenhuma informação sobre o contrato em questão. Obra tida como paralisada.</t>
  </si>
  <si>
    <t>E-MAIL</t>
  </si>
  <si>
    <t>E-MAIL 22/11/2018
pedrocoelho@tce.pe.com.br</t>
  </si>
  <si>
    <t>Não apresenta documentação que comprove as informações prestadas. Obra permanece como inacabada.</t>
  </si>
  <si>
    <t>A maior parte deste contrato já foi concluído. O mesmo encontra-se com pedido de redução de metas, junto a FUNASA, já bastante adiantado, para encerramento e prestação de contas do referido convênio.</t>
  </si>
  <si>
    <t>Não foi enviada nenhuma informação referente ao novo contrato resultante da nova licitação mencionada.</t>
  </si>
  <si>
    <t>Esta obra atrasou um pouco, devido exigência do ministério da educação - SIMEC, que fosse feito um muro de arrimo, no contorno da obra, para contenção de aterros e cortes do terreno. Este muro ja foi concluído pelo município com recursos próprios. A empresa contratada para a execução da quadra abandonou a obra. Com a orientação do ministério da educação, já realizamos novo processo licitatório para conclusão dos serviços, se encontrando a obra, neste momento, em andamento.</t>
  </si>
  <si>
    <t>Não foi possível encontrat dados do contrato no TOME CONTAS, em 11/01/2019, de maneira que na falta de documentos comprobatórios não há como comprovar que a obra tenha sido concluída.</t>
  </si>
  <si>
    <t>Esta obra foi concluída e está em pleno funcionamento Estando o convênio já encerrado e prestado contas junto a CEF.</t>
  </si>
  <si>
    <t>Não foi apresentada nenhuma informação sobre o novo contrato de maneira que não há como comprovar as informações enviadas.</t>
  </si>
  <si>
    <t>A empresa contratada para a execução dos serviços abandonou a obra, sendo cancelado o contrato. Foi finalizado novo processo licitatório e a obra se encontra em andamento.</t>
  </si>
  <si>
    <t>Este convênio foi feito a redução de metas. Obra já concluída. Convênio já encerrado e prestado contas.</t>
  </si>
  <si>
    <t>Foi feito a redução de metas deste convênio, junto à FUNASA. Obra já foi concluída tendo já sido feito encerramento e prestação de contas do referido convênio.</t>
  </si>
  <si>
    <t>TC/GC02nº183/2018</t>
  </si>
  <si>
    <t>198/2018-TCE-PE/GC06</t>
  </si>
  <si>
    <t>199/2018-GC06/NEG</t>
  </si>
  <si>
    <t>TC/GC03-259/2018</t>
  </si>
  <si>
    <t>TC/GC02-186/2018</t>
  </si>
  <si>
    <t>TC-NEG513/2018</t>
  </si>
  <si>
    <t>e-mail
pedrocoelho@tce.pe.gov.br</t>
  </si>
  <si>
    <t>Mapa não enviado no arquivo apresentado por e-mail.</t>
  </si>
  <si>
    <t>Não apresenta justificativas</t>
  </si>
  <si>
    <t xml:space="preserve">TOME CONTAS, acesso em 11/01/2019, consta apenas o valor irrisório de 3 mil reais, de maneira que  não é possível confirmar a execução dos serviços contratados.  </t>
  </si>
  <si>
    <t>o valor contratado foi de 522.483,24 e consta equivocadamene por erro de digitação na planilha enviada para o TCE o valor pago de 422.483,24. O valor correto executado\ pago\ obra concluída, foi a importância  522.483,24.</t>
  </si>
  <si>
    <t xml:space="preserve">TOME CONTAS, acesso em 11/01/2019, consta apenas o valor irrisório de R$ 3.739,11, de maneira que  não é possível confirmar a execução dos serviços contratados.  </t>
  </si>
  <si>
    <t>Valor executado/pago/obra concluída = R$ 133.439,57.</t>
  </si>
  <si>
    <t>16/2018</t>
  </si>
  <si>
    <t>17/2018</t>
  </si>
  <si>
    <t>Respondido por e-mail</t>
  </si>
  <si>
    <t>Fonte de referência: Mapa de obras e serviços de engenharia consolidado do exercício 2017</t>
  </si>
  <si>
    <t>DIAGNÓSTICO DE OBRAS PARALISADAS 2018</t>
  </si>
  <si>
    <t>LISTA DE ÓRGÃOS QUE NÃO RESPONDERAM AO OFÍCIO DO NEG ATÉ 31/12/2018</t>
  </si>
  <si>
    <t>Obras Paralisadas/Inacabadas após Respostas aos Ofícios</t>
  </si>
  <si>
    <t>Obras com Fortes Indícios Paralisadas/Inacabadas sem Respostas aos Ofícios</t>
  </si>
  <si>
    <t>Obras Paralisadas/Inacabadas ou que permanecem com Fortes Indícios, após Respostas aos Ofícios</t>
  </si>
  <si>
    <t>1318/19</t>
  </si>
  <si>
    <t>Obra paralisada e a administração judicializou o ex-gestor para devolução dos recursos ao erário.</t>
  </si>
  <si>
    <t>Obra concluída, em fase de prestação de contas.</t>
  </si>
  <si>
    <t>Obra paralisada, distratada e recontratada com a empresa Agreste Empreendimentos Ltda-ME. Contrato 04/2018, em fase final de execução.</t>
  </si>
  <si>
    <t>Obra paralisada por abandono da empresa. A administração judicializou a empresa e o ex-gestor paras devolução dos recursos ao erário.</t>
  </si>
  <si>
    <t>04/2019</t>
  </si>
  <si>
    <t>Não há pagamentos no TomeConta, até o exercício de 2018, pesquisa em 17/01/2019.</t>
  </si>
  <si>
    <t>Em consulta ao Tome Conta, em 17/01/2019, foram identificados pagamentos de apenas R$271.625,59, até o exercício de 2015.</t>
  </si>
  <si>
    <t>Obras Paralisadas/ Inacabadas ou com fortes indícios que não houve resposta</t>
  </si>
  <si>
    <t xml:space="preserve">PROCESSO CEL2/BID Nº  6738/2017
LPN Nº 003/2017
</t>
  </si>
  <si>
    <t>OBRAS DO SISTEMA DE ESGOTAMENTO SANITÁRIO DA CIDADE DE ESCADA (1ª ETAPA) EM PERNAMBUCO</t>
  </si>
  <si>
    <t>CONTRATO DE EMPRÉSTIMO Nº 2901 / OC-BR</t>
  </si>
  <si>
    <t>BID - BANCO INTERAMERICANO DE DESENVOLVIMENTO</t>
  </si>
  <si>
    <t>CONSTRUTORA JOLE LTDA</t>
  </si>
  <si>
    <t>CT.OS.17.5.181</t>
  </si>
  <si>
    <t>Obra a presentada pela empresa contratada em 29/01/2019.</t>
  </si>
  <si>
    <t>Obra declarada como paralisada pela empresa contratada e não apresentada pelo jurisdicionado no mapa de obra de 2017.</t>
  </si>
  <si>
    <t>O referido contrato foi rescindido junto à empresa inicialmente contratada e também informa que a equipe técnica deste município está procedendo com a atualização dos projetos, bem como as planilhas de preço, para que assim seja possível dar continuidade aos serviços pactuados</t>
  </si>
  <si>
    <t>A obra se encontra com a reprogramação no órgão conveniado aguardando aprovação da mesma, para retomada do serviço, e no momento encontra-se paralisada.</t>
  </si>
  <si>
    <t xml:space="preserve">A paralisação da obra se deve principalmente pela não disponibilidade de recursos financeiros. Tendo seu último boletim de medição em agosto de 2014 em virtude do contigenciamento econômico nas esferas federal e estadual. A construção da barragem não foi retomada e encontra-se com 38% de execução física. A SERH está finalizando a análise da readequação do projeto executivo da Barragem de Igarapeba pelos consultores especialistas em projeto de barragem, estruturas e geotecnia para iniciar o processo de licitação para conclusão do empreendimento. </t>
  </si>
  <si>
    <t>RESUMO QUANTIDADE DE OBRAS PARALISADAS POR ENTE PÚBLICO</t>
  </si>
  <si>
    <t>Consolidação das informações relativas à ocorrência de obras paralisadas/inacabadas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</si>
</sst>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R$&quot;#,##0.00;[Red]\-&quot;R$&quot;#,##0.00"/>
    <numFmt numFmtId="44" formatCode="_-&quot;R$&quot;* #,##0.00_-;\-&quot;R$&quot;* #,##0.00_-;_-&quot;R$&quot;* &quot;-&quot;??_-;_-@_-"/>
    <numFmt numFmtId="43" formatCode="_-* #,##0.00_-;\-* #,##0.00_-;_-* &quot;-&quot;??_-;_-@_-"/>
    <numFmt numFmtId="165" formatCode="_(* #,##0.00_);_(* \(#,##0.00\);_(* &quot;-&quot;??_);_(@_)"/>
    <numFmt numFmtId="166" formatCode="&quot; &quot;#,##0.00&quot; &quot;;&quot;-&quot;#,##0.00&quot; &quot;;&quot; &quot;&quot;-&quot;#&quot; &quot;;&quot; &quot;@&quot; &quot;"/>
    <numFmt numFmtId="167" formatCode="#,##0.00&quot; &quot;;&quot;(&quot;#,##0.00&quot;)&quot;;&quot;-&quot;#&quot; &quot;;&quot; &quot;@&quot; &quot;"/>
    <numFmt numFmtId="169" formatCode="&quot; &quot;#,##0.00&quot; &quot;;&quot;-&quot;#,##0.00&quot; &quot;;&quot; -&quot;#&quot; &quot;;&quot; &quot;@&quot; &quot;"/>
    <numFmt numFmtId="172" formatCode="_(&quot;R$&quot;* #,##0.00_);_(&quot;R$&quot;* \(#,##0.00\);_(&quot;R$&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8"/>
      <name val="Arial"/>
      <family val="2"/>
    </font>
    <font>
      <sz val="18"/>
      <name val="Arial"/>
      <family val="2"/>
    </font>
    <font>
      <sz val="10"/>
      <name val="Arial"/>
      <family val="2"/>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sz val="11"/>
      <color rgb="FF000000"/>
      <name val="Calibri"/>
      <family val="2"/>
    </font>
    <font>
      <sz val="11"/>
      <color rgb="FF000000"/>
      <name val="Arial"/>
      <family val="2"/>
    </font>
    <font>
      <b/>
      <sz val="14"/>
      <color theme="1"/>
      <name val="Calibri"/>
      <family val="2"/>
      <scheme val="minor"/>
    </font>
    <font>
      <b/>
      <sz val="9"/>
      <color rgb="FF000000"/>
      <name val="Calibri"/>
      <family val="2"/>
    </font>
    <font>
      <sz val="9"/>
      <color theme="1"/>
      <name val="Calibri"/>
      <family val="2"/>
    </font>
  </fonts>
  <fills count="8">
    <fill>
      <patternFill patternType="none"/>
    </fill>
    <fill>
      <patternFill patternType="gray125"/>
    </fill>
    <fill>
      <patternFill patternType="solid">
        <fgColor rgb="FF00FF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0">
    <xf numFmtId="0" fontId="0" fillId="0" borderId="0"/>
    <xf numFmtId="43" fontId="1" fillId="0" borderId="0" applyFont="0" applyFill="0" applyBorder="0" applyAlignment="0" applyProtection="0"/>
    <xf numFmtId="165" fontId="1" fillId="0" borderId="0" applyFont="0" applyFill="0" applyBorder="0" applyAlignment="0" applyProtection="0"/>
    <xf numFmtId="166" fontId="10" fillId="0" borderId="0"/>
    <xf numFmtId="169" fontId="10" fillId="0" borderId="0"/>
    <xf numFmtId="167" fontId="11" fillId="0" borderId="0" applyFont="0" applyBorder="0" applyProtection="0"/>
    <xf numFmtId="167" fontId="11" fillId="0" borderId="0" applyFont="0" applyBorder="0" applyProtection="0"/>
    <xf numFmtId="165" fontId="5"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cellStyleXfs>
  <cellXfs count="144">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9" fillId="0" borderId="0" xfId="0" applyFont="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1" xfId="0" applyFont="1" applyFill="1" applyBorder="1" applyAlignment="1">
      <alignment vertical="center" wrapText="1"/>
    </xf>
    <xf numFmtId="49" fontId="9"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justify" vertical="center" wrapText="1"/>
    </xf>
    <xf numFmtId="49" fontId="9" fillId="3" borderId="1" xfId="0" applyNumberFormat="1" applyFont="1" applyFill="1" applyBorder="1" applyAlignment="1">
      <alignment vertical="center"/>
    </xf>
    <xf numFmtId="49" fontId="9" fillId="3" borderId="1" xfId="0" applyNumberFormat="1" applyFont="1" applyFill="1" applyBorder="1" applyAlignment="1">
      <alignment vertical="center" wrapText="1"/>
    </xf>
    <xf numFmtId="43" fontId="2" fillId="3" borderId="1" xfId="1" applyFont="1" applyFill="1" applyBorder="1" applyAlignment="1">
      <alignment vertical="center"/>
    </xf>
    <xf numFmtId="49" fontId="9" fillId="3" borderId="1" xfId="0" applyNumberFormat="1" applyFont="1" applyFill="1" applyBorder="1" applyAlignment="1">
      <alignment horizontal="center" vertical="center"/>
    </xf>
    <xf numFmtId="14" fontId="9" fillId="3" borderId="1" xfId="0" applyNumberFormat="1" applyFont="1" applyFill="1" applyBorder="1" applyAlignment="1">
      <alignment horizontal="center" vertical="center"/>
    </xf>
    <xf numFmtId="0" fontId="7" fillId="0" borderId="3"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43" fontId="8" fillId="0" borderId="0" xfId="1" applyFont="1" applyAlignment="1">
      <alignment vertical="center"/>
    </xf>
    <xf numFmtId="43" fontId="9" fillId="2" borderId="1" xfId="1" applyFont="1" applyFill="1" applyBorder="1" applyAlignment="1">
      <alignment horizontal="center" vertical="center" wrapText="1"/>
    </xf>
    <xf numFmtId="14" fontId="8" fillId="0" borderId="0" xfId="0" applyNumberFormat="1" applyFont="1" applyAlignment="1">
      <alignment vertical="center"/>
    </xf>
    <xf numFmtId="14" fontId="9" fillId="2" borderId="1" xfId="0" applyNumberFormat="1" applyFont="1" applyFill="1" applyBorder="1" applyAlignment="1">
      <alignment horizontal="center" vertical="center" wrapText="1"/>
    </xf>
    <xf numFmtId="14" fontId="9" fillId="3" borderId="1" xfId="0" applyNumberFormat="1" applyFont="1" applyFill="1" applyBorder="1" applyAlignment="1">
      <alignment vertical="center"/>
    </xf>
    <xf numFmtId="0" fontId="9" fillId="2" borderId="1" xfId="0" applyFont="1" applyFill="1" applyBorder="1" applyAlignment="1">
      <alignment horizontal="center" vertical="center" wrapText="1"/>
    </xf>
    <xf numFmtId="0" fontId="8" fillId="0" borderId="1" xfId="0" applyFont="1" applyFill="1" applyBorder="1" applyAlignment="1">
      <alignment vertical="center"/>
    </xf>
    <xf numFmtId="0" fontId="9" fillId="4" borderId="1" xfId="0" applyFont="1" applyFill="1" applyBorder="1" applyAlignment="1">
      <alignment horizontal="center" vertical="center" wrapText="1"/>
    </xf>
    <xf numFmtId="43" fontId="6" fillId="3" borderId="1" xfId="0" applyNumberFormat="1" applyFont="1" applyFill="1" applyBorder="1" applyAlignment="1">
      <alignment vertical="center" wrapText="1"/>
    </xf>
    <xf numFmtId="0" fontId="0" fillId="0" borderId="0" xfId="0" applyAlignment="1">
      <alignment vertical="center"/>
    </xf>
    <xf numFmtId="0" fontId="0" fillId="0" borderId="1" xfId="0" applyBorder="1" applyAlignment="1">
      <alignment vertical="center"/>
    </xf>
    <xf numFmtId="0" fontId="7" fillId="0" borderId="9"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vertical="center" wrapText="1"/>
    </xf>
    <xf numFmtId="14" fontId="7" fillId="0" borderId="1" xfId="0" applyNumberFormat="1" applyFont="1" applyFill="1" applyBorder="1" applyAlignment="1">
      <alignment vertical="center"/>
    </xf>
    <xf numFmtId="14" fontId="7" fillId="0" borderId="1" xfId="2" applyNumberFormat="1" applyFont="1" applyFill="1" applyBorder="1" applyAlignment="1">
      <alignment horizontal="center" vertical="center"/>
    </xf>
    <xf numFmtId="165" fontId="7" fillId="0" borderId="3" xfId="2" applyFont="1" applyFill="1" applyBorder="1" applyAlignment="1">
      <alignment vertical="center"/>
    </xf>
    <xf numFmtId="165" fontId="7" fillId="0" borderId="1" xfId="2" applyFont="1" applyFill="1" applyBorder="1" applyAlignment="1">
      <alignment horizontal="right" vertical="center"/>
    </xf>
    <xf numFmtId="165" fontId="7" fillId="0" borderId="1" xfId="2" applyFont="1" applyFill="1" applyBorder="1" applyAlignment="1">
      <alignment vertical="center"/>
    </xf>
    <xf numFmtId="0" fontId="7" fillId="0" borderId="1" xfId="0" applyNumberFormat="1" applyFont="1" applyFill="1" applyBorder="1" applyAlignment="1">
      <alignment vertical="center" wrapText="1"/>
    </xf>
    <xf numFmtId="0" fontId="8" fillId="0" borderId="0" xfId="0" applyFont="1" applyAlignment="1">
      <alignment vertical="center" wrapText="1"/>
    </xf>
    <xf numFmtId="49" fontId="8" fillId="0" borderId="1" xfId="0" applyNumberFormat="1" applyFont="1" applyFill="1" applyBorder="1" applyAlignment="1" applyProtection="1">
      <alignment horizontal="justify" vertical="center" wrapText="1"/>
      <protection locked="0"/>
    </xf>
    <xf numFmtId="0" fontId="6" fillId="3" borderId="1" xfId="0" applyFont="1" applyFill="1" applyBorder="1" applyAlignment="1">
      <alignment horizontal="center" vertical="center" wrapText="1"/>
    </xf>
    <xf numFmtId="43" fontId="0" fillId="0" borderId="1" xfId="1" applyFont="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49" fontId="8" fillId="0" borderId="1" xfId="0" applyNumberFormat="1" applyFont="1" applyFill="1" applyBorder="1" applyAlignment="1" applyProtection="1">
      <alignment vertical="center"/>
      <protection locked="0"/>
    </xf>
    <xf numFmtId="43" fontId="8" fillId="0" borderId="1" xfId="1"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43" fontId="9" fillId="0" borderId="1" xfId="1" applyFont="1" applyBorder="1" applyAlignment="1">
      <alignment vertical="center"/>
    </xf>
    <xf numFmtId="14" fontId="8" fillId="0" borderId="1" xfId="0" applyNumberFormat="1" applyFont="1" applyFill="1" applyBorder="1" applyAlignment="1">
      <alignment vertical="center"/>
    </xf>
    <xf numFmtId="14" fontId="9" fillId="0" borderId="1" xfId="0" applyNumberFormat="1" applyFont="1" applyBorder="1" applyAlignment="1">
      <alignment vertical="center"/>
    </xf>
    <xf numFmtId="49" fontId="8" fillId="0" borderId="1" xfId="0" applyNumberFormat="1" applyFont="1" applyFill="1" applyBorder="1" applyAlignment="1" applyProtection="1">
      <alignment vertical="center" wrapText="1"/>
      <protection locked="0"/>
    </xf>
    <xf numFmtId="14" fontId="8" fillId="0" borderId="1" xfId="0" applyNumberFormat="1" applyFont="1" applyFill="1" applyBorder="1" applyAlignment="1" applyProtection="1">
      <alignment horizontal="center" vertical="center"/>
      <protection locked="0"/>
    </xf>
    <xf numFmtId="14" fontId="8" fillId="0" borderId="1" xfId="0" applyNumberFormat="1" applyFont="1" applyFill="1" applyBorder="1" applyAlignment="1" applyProtection="1">
      <alignment vertical="center"/>
      <protection locked="0"/>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44" fontId="9" fillId="0" borderId="1" xfId="8" applyFont="1" applyBorder="1" applyAlignment="1">
      <alignment vertical="center" wrapText="1"/>
    </xf>
    <xf numFmtId="0" fontId="12" fillId="0" borderId="0" xfId="0" applyFont="1" applyAlignment="1">
      <alignment vertical="center"/>
    </xf>
    <xf numFmtId="49" fontId="8" fillId="0" borderId="9" xfId="0" applyNumberFormat="1" applyFont="1" applyFill="1" applyBorder="1" applyAlignment="1" applyProtection="1">
      <alignment horizontal="justify" vertical="center" wrapText="1"/>
      <protection locked="0"/>
    </xf>
    <xf numFmtId="43" fontId="8" fillId="0" borderId="3" xfId="1" applyFont="1" applyFill="1" applyBorder="1" applyAlignment="1" applyProtection="1">
      <alignment vertical="center"/>
      <protection locked="0"/>
    </xf>
    <xf numFmtId="0" fontId="9" fillId="2" borderId="1" xfId="0" applyFont="1" applyFill="1" applyBorder="1" applyAlignment="1">
      <alignment horizontal="center" vertical="center" wrapText="1"/>
    </xf>
    <xf numFmtId="8" fontId="8" fillId="0" borderId="1" xfId="1" applyNumberFormat="1" applyFont="1" applyFill="1" applyBorder="1" applyAlignment="1" applyProtection="1">
      <alignment vertical="center"/>
      <protection locked="0"/>
    </xf>
    <xf numFmtId="43" fontId="8" fillId="0" borderId="1" xfId="1" applyFont="1" applyFill="1" applyBorder="1" applyAlignment="1" applyProtection="1">
      <alignment horizontal="center" vertical="center"/>
      <protection locked="0"/>
    </xf>
    <xf numFmtId="43" fontId="8" fillId="0" borderId="1" xfId="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43" fontId="8" fillId="0" borderId="1" xfId="1" applyFont="1" applyFill="1" applyBorder="1" applyAlignment="1" applyProtection="1">
      <alignment vertical="center" wrapText="1"/>
      <protection locked="0"/>
    </xf>
    <xf numFmtId="0" fontId="9" fillId="0" borderId="0"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49" fontId="8" fillId="0" borderId="1"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justify" vertical="center" wrapText="1"/>
      <protection locked="0"/>
    </xf>
    <xf numFmtId="49" fontId="8" fillId="0" borderId="1" xfId="0" applyNumberFormat="1" applyFont="1" applyBorder="1" applyAlignment="1" applyProtection="1">
      <alignment vertical="center"/>
      <protection locked="0"/>
    </xf>
    <xf numFmtId="49" fontId="8" fillId="0" borderId="1" xfId="0" applyNumberFormat="1" applyFont="1" applyBorder="1" applyAlignment="1" applyProtection="1">
      <alignment vertical="center" wrapText="1"/>
      <protection locked="0"/>
    </xf>
    <xf numFmtId="43" fontId="8" fillId="0" borderId="1" xfId="1" applyFont="1" applyBorder="1" applyAlignment="1" applyProtection="1">
      <alignment vertical="center"/>
      <protection locked="0"/>
    </xf>
    <xf numFmtId="49" fontId="8" fillId="0" borderId="1" xfId="0" applyNumberFormat="1" applyFont="1" applyBorder="1" applyAlignment="1" applyProtection="1">
      <alignment horizontal="center" vertical="center"/>
      <protection locked="0"/>
    </xf>
    <xf numFmtId="14" fontId="8" fillId="0" borderId="1" xfId="0" applyNumberFormat="1" applyFont="1" applyBorder="1" applyAlignment="1" applyProtection="1">
      <alignment horizontal="center" vertical="center"/>
      <protection locked="0"/>
    </xf>
    <xf numFmtId="14"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4" fontId="7" fillId="0" borderId="1" xfId="0" applyNumberFormat="1" applyFont="1" applyFill="1" applyBorder="1" applyAlignment="1">
      <alignment vertical="center" wrapText="1"/>
    </xf>
    <xf numFmtId="14" fontId="7" fillId="0" borderId="1" xfId="2" applyNumberFormat="1" applyFont="1" applyFill="1" applyBorder="1" applyAlignment="1">
      <alignment vertical="center"/>
    </xf>
    <xf numFmtId="8" fontId="8" fillId="0" borderId="1" xfId="1" applyNumberFormat="1" applyFont="1" applyBorder="1" applyAlignment="1" applyProtection="1">
      <alignment vertical="center"/>
      <protection locked="0"/>
    </xf>
    <xf numFmtId="49" fontId="7" fillId="4" borderId="1" xfId="0" applyNumberFormat="1" applyFont="1" applyFill="1" applyBorder="1" applyAlignment="1">
      <alignment vertical="center" wrapText="1"/>
    </xf>
    <xf numFmtId="43" fontId="8" fillId="0" borderId="1" xfId="1" applyFont="1" applyBorder="1" applyAlignment="1" applyProtection="1">
      <alignment horizontal="center" vertical="center"/>
      <protection locked="0"/>
    </xf>
    <xf numFmtId="43" fontId="8" fillId="0" borderId="1" xfId="1" applyFont="1" applyBorder="1" applyAlignment="1" applyProtection="1">
      <alignment horizontal="center" vertical="center" wrapText="1"/>
      <protection locked="0"/>
    </xf>
    <xf numFmtId="43" fontId="8" fillId="0" borderId="3" xfId="1" applyFont="1" applyBorder="1" applyAlignment="1" applyProtection="1">
      <alignment vertical="center"/>
      <protection locked="0"/>
    </xf>
    <xf numFmtId="0" fontId="8" fillId="0" borderId="1" xfId="0" applyFont="1" applyFill="1" applyBorder="1" applyAlignment="1" applyProtection="1">
      <alignment vertical="center"/>
      <protection locked="0"/>
    </xf>
    <xf numFmtId="2" fontId="8" fillId="0" borderId="1" xfId="0" applyNumberFormat="1" applyFont="1" applyBorder="1" applyAlignment="1" applyProtection="1">
      <alignment vertical="center"/>
      <protection locked="0"/>
    </xf>
    <xf numFmtId="49" fontId="8" fillId="4" borderId="1" xfId="0" applyNumberFormat="1" applyFont="1" applyFill="1" applyBorder="1" applyAlignment="1" applyProtection="1">
      <alignment horizontal="center" vertical="center"/>
      <protection locked="0"/>
    </xf>
    <xf numFmtId="0" fontId="6"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165" fontId="7" fillId="0" borderId="1" xfId="2" applyFont="1" applyFill="1" applyBorder="1" applyAlignment="1">
      <alignment horizontal="right" vertical="center" wrapText="1"/>
    </xf>
    <xf numFmtId="0" fontId="2" fillId="7" borderId="7" xfId="0" applyFont="1" applyFill="1" applyBorder="1" applyAlignment="1">
      <alignment horizontal="center" vertical="center" wrapText="1"/>
    </xf>
    <xf numFmtId="17" fontId="8" fillId="0" borderId="1" xfId="0" applyNumberFormat="1" applyFont="1" applyFill="1" applyBorder="1" applyAlignment="1">
      <alignment vertical="center"/>
    </xf>
    <xf numFmtId="0" fontId="8" fillId="4" borderId="1" xfId="0" applyFont="1" applyFill="1" applyBorder="1" applyAlignment="1">
      <alignment vertical="center" wrapText="1"/>
    </xf>
    <xf numFmtId="49" fontId="8"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0" fontId="14" fillId="6" borderId="11" xfId="0" applyFont="1" applyFill="1" applyBorder="1" applyAlignment="1">
      <alignment wrapText="1"/>
    </xf>
    <xf numFmtId="0" fontId="14" fillId="6" borderId="10" xfId="0" applyFont="1" applyFill="1" applyBorder="1" applyAlignment="1">
      <alignment wrapText="1"/>
    </xf>
    <xf numFmtId="0" fontId="14" fillId="0" borderId="11" xfId="0" applyFont="1" applyBorder="1" applyAlignment="1">
      <alignment wrapText="1"/>
    </xf>
    <xf numFmtId="0" fontId="14" fillId="0" borderId="10" xfId="0" applyFont="1" applyBorder="1" applyAlignment="1">
      <alignment wrapText="1"/>
    </xf>
    <xf numFmtId="0" fontId="9" fillId="3" borderId="1" xfId="0" applyFont="1" applyFill="1" applyBorder="1" applyAlignment="1">
      <alignment horizontal="center" vertical="center" wrapText="1"/>
    </xf>
    <xf numFmtId="0" fontId="14" fillId="0" borderId="12" xfId="0" applyFont="1" applyBorder="1" applyAlignment="1">
      <alignment wrapText="1"/>
    </xf>
    <xf numFmtId="0" fontId="14" fillId="0" borderId="13" xfId="0" applyFont="1" applyBorder="1" applyAlignment="1">
      <alignment wrapText="1"/>
    </xf>
    <xf numFmtId="0" fontId="14" fillId="6" borderId="12" xfId="0" applyFont="1" applyFill="1" applyBorder="1" applyAlignment="1">
      <alignment wrapText="1"/>
    </xf>
    <xf numFmtId="0" fontId="14" fillId="6" borderId="13" xfId="0" applyFont="1" applyFill="1" applyBorder="1" applyAlignment="1">
      <alignment wrapText="1"/>
    </xf>
    <xf numFmtId="0" fontId="13" fillId="5" borderId="12" xfId="0" applyFont="1" applyFill="1" applyBorder="1" applyAlignment="1">
      <alignment horizontal="center" wrapText="1"/>
    </xf>
    <xf numFmtId="0" fontId="13" fillId="5" borderId="13" xfId="0" applyFont="1" applyFill="1" applyBorder="1" applyAlignment="1">
      <alignment horizontal="center" wrapText="1"/>
    </xf>
    <xf numFmtId="0" fontId="9" fillId="4" borderId="1" xfId="0" applyFont="1" applyFill="1" applyBorder="1" applyAlignment="1">
      <alignment vertical="center"/>
    </xf>
    <xf numFmtId="14" fontId="8" fillId="0" borderId="1" xfId="0" applyNumberFormat="1" applyFont="1" applyBorder="1" applyAlignment="1" applyProtection="1">
      <alignment vertical="center" wrapText="1"/>
      <protection locked="0"/>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9" fillId="2" borderId="1" xfId="0" applyFont="1" applyFill="1" applyBorder="1" applyAlignment="1">
      <alignment horizontal="left" vertical="center"/>
    </xf>
    <xf numFmtId="43" fontId="9" fillId="2" borderId="1" xfId="1" applyFont="1" applyFill="1" applyBorder="1" applyAlignment="1">
      <alignment horizontal="left" vertical="center"/>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43" fontId="9" fillId="2" borderId="1" xfId="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7" borderId="1" xfId="0"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7" xfId="0" applyFont="1" applyFill="1" applyBorder="1" applyAlignment="1">
      <alignment horizontal="center" vertical="center" wrapText="1"/>
    </xf>
    <xf numFmtId="14" fontId="9" fillId="2" borderId="1" xfId="0" applyNumberFormat="1" applyFont="1" applyFill="1" applyBorder="1" applyAlignment="1">
      <alignment horizontal="left" vertical="center"/>
    </xf>
    <xf numFmtId="14" fontId="9" fillId="2"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cellXfs>
  <cellStyles count="10">
    <cellStyle name="Excel Built-in Comma" xfId="4"/>
    <cellStyle name="Excel_BuiltIn_Comma" xfId="3"/>
    <cellStyle name="Moeda" xfId="8" builtinId="4"/>
    <cellStyle name="Moeda 2" xfId="6"/>
    <cellStyle name="Moeda 3" xfId="9"/>
    <cellStyle name="Normal" xfId="0" builtinId="0"/>
    <cellStyle name="Separador de milhares 2" xfId="7"/>
    <cellStyle name="Vírgula" xfId="1" builtinId="3"/>
    <cellStyle name="Vírgula 2" xfId="2"/>
    <cellStyle name="Vírgula 2 2" xfId="5"/>
  </cellStyles>
  <dxfs count="37">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66675</xdr:rowOff>
    </xdr:from>
    <xdr:ext cx="5337330" cy="942975"/>
    <xdr:pic>
      <xdr:nvPicPr>
        <xdr:cNvPr id="2" name="Figura 1"/>
        <xdr:cNvPicPr/>
      </xdr:nvPicPr>
      <xdr:blipFill>
        <a:blip xmlns:r="http://schemas.openxmlformats.org/officeDocument/2006/relationships" r:embed="rId1"/>
        <a:stretch/>
      </xdr:blipFill>
      <xdr:spPr>
        <a:xfrm>
          <a:off x="0" y="66675"/>
          <a:ext cx="5337330" cy="94297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2</xdr:col>
      <xdr:colOff>742950</xdr:colOff>
      <xdr:row>0</xdr:row>
      <xdr:rowOff>774700</xdr:rowOff>
    </xdr:to>
    <xdr:pic>
      <xdr:nvPicPr>
        <xdr:cNvPr id="3" name="Figura 1"/>
        <xdr:cNvPicPr/>
      </xdr:nvPicPr>
      <xdr:blipFill>
        <a:blip xmlns:r="http://schemas.openxmlformats.org/officeDocument/2006/relationships" r:embed="rId1"/>
        <a:stretch/>
      </xdr:blipFill>
      <xdr:spPr>
        <a:xfrm>
          <a:off x="1590675" y="47625"/>
          <a:ext cx="4572000" cy="7270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2</xdr:col>
      <xdr:colOff>3105150</xdr:colOff>
      <xdr:row>0</xdr:row>
      <xdr:rowOff>784225</xdr:rowOff>
    </xdr:to>
    <xdr:pic>
      <xdr:nvPicPr>
        <xdr:cNvPr id="3" name="Figura 1"/>
        <xdr:cNvPicPr/>
      </xdr:nvPicPr>
      <xdr:blipFill>
        <a:blip xmlns:r="http://schemas.openxmlformats.org/officeDocument/2006/relationships" r:embed="rId1"/>
        <a:stretch/>
      </xdr:blipFill>
      <xdr:spPr>
        <a:xfrm>
          <a:off x="638175" y="57150"/>
          <a:ext cx="4572000" cy="7270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561"/>
  <sheetViews>
    <sheetView tabSelected="1"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 defaultRowHeight="12" outlineLevelRow="1" x14ac:dyDescent="0.25"/>
  <cols>
    <col min="1" max="1" width="15.42578125" style="1" customWidth="1"/>
    <col min="2" max="2" width="21.42578125" style="1" customWidth="1"/>
    <col min="3" max="3" width="12.140625" style="1" customWidth="1"/>
    <col min="4" max="4" width="45.85546875" style="1" customWidth="1"/>
    <col min="5" max="5" width="13.140625" style="1" customWidth="1"/>
    <col min="6" max="6" width="28.28515625" style="1" customWidth="1"/>
    <col min="7" max="7" width="16.85546875" style="1" customWidth="1"/>
    <col min="8" max="8" width="16.42578125" style="1" customWidth="1"/>
    <col min="9" max="9" width="13.42578125" style="1" customWidth="1"/>
    <col min="10" max="10" width="18.7109375" style="1" customWidth="1"/>
    <col min="11" max="11" width="7.42578125" style="1" customWidth="1"/>
    <col min="12" max="12" width="9.28515625" style="24" customWidth="1"/>
    <col min="13" max="13" width="9" style="24" customWidth="1"/>
    <col min="14" max="14" width="17.42578125" style="1" customWidth="1"/>
    <col min="15" max="15" width="12.42578125" style="2" customWidth="1"/>
    <col min="16" max="16" width="10.140625" style="2" customWidth="1"/>
    <col min="17" max="17" width="17.7109375" style="1" customWidth="1"/>
    <col min="18" max="18" width="19" style="1" bestFit="1" customWidth="1"/>
    <col min="19" max="19" width="15.28515625" style="1" customWidth="1"/>
    <col min="20" max="20" width="9.5703125" style="2" customWidth="1"/>
    <col min="21" max="21" width="18.42578125" style="22" customWidth="1"/>
    <col min="22" max="22" width="19.140625" style="1" customWidth="1"/>
    <col min="23" max="23" width="22.85546875" style="1" customWidth="1"/>
    <col min="24" max="24" width="21" style="1" bestFit="1" customWidth="1"/>
    <col min="25" max="25" width="12.28515625" style="21" customWidth="1"/>
    <col min="26" max="26" width="27.42578125" style="21" customWidth="1"/>
    <col min="27" max="27" width="9" style="1" customWidth="1"/>
    <col min="28" max="28" width="9.28515625" style="24" customWidth="1"/>
    <col min="29" max="30" width="9" style="1" customWidth="1"/>
    <col min="31" max="32" width="28.140625" style="44" customWidth="1"/>
    <col min="33" max="33" width="43.140625" style="44" customWidth="1"/>
    <col min="34" max="34" width="15.42578125" style="1" customWidth="1"/>
    <col min="35" max="35" width="15.28515625" style="1" bestFit="1" customWidth="1"/>
    <col min="36" max="36" width="14.28515625" style="1" bestFit="1" customWidth="1"/>
    <col min="37" max="16384" width="9" style="1"/>
  </cols>
  <sheetData>
    <row r="1" spans="1:36" ht="82.5" customHeight="1" x14ac:dyDescent="0.25"/>
    <row r="2" spans="1:36" ht="23.25" x14ac:dyDescent="0.25">
      <c r="A2" s="121" t="s">
        <v>8553</v>
      </c>
      <c r="B2" s="122"/>
      <c r="C2" s="122"/>
      <c r="D2" s="122"/>
      <c r="E2" s="122"/>
      <c r="F2" s="122"/>
      <c r="G2" s="122"/>
      <c r="H2" s="122"/>
      <c r="I2" s="122"/>
    </row>
    <row r="3" spans="1:36" ht="15" x14ac:dyDescent="0.25">
      <c r="A3" s="123" t="s">
        <v>8526</v>
      </c>
      <c r="B3" s="124"/>
      <c r="C3" s="124"/>
      <c r="D3" s="124"/>
      <c r="E3" s="124"/>
      <c r="F3" s="124"/>
      <c r="G3" s="124"/>
      <c r="H3" s="124"/>
      <c r="I3" s="124"/>
    </row>
    <row r="4" spans="1:36" ht="15" x14ac:dyDescent="0.25">
      <c r="C4" s="125" t="s">
        <v>23</v>
      </c>
      <c r="D4" s="125"/>
      <c r="E4" s="125"/>
      <c r="F4" s="125"/>
      <c r="G4" s="125"/>
      <c r="H4" s="125"/>
      <c r="I4" s="125"/>
      <c r="J4" s="125"/>
      <c r="K4" s="125"/>
      <c r="L4" s="141"/>
      <c r="M4" s="125"/>
      <c r="N4" s="125"/>
      <c r="O4" s="125"/>
      <c r="P4" s="125"/>
      <c r="Q4" s="125"/>
      <c r="R4" s="125"/>
      <c r="S4" s="125"/>
      <c r="T4" s="125"/>
      <c r="U4" s="126"/>
      <c r="V4" s="125"/>
      <c r="W4" s="125"/>
      <c r="X4" s="125"/>
      <c r="Y4" s="127"/>
      <c r="Z4" s="73"/>
      <c r="AA4" s="118" t="s">
        <v>2953</v>
      </c>
      <c r="AB4" s="118"/>
      <c r="AC4" s="118"/>
      <c r="AD4" s="118"/>
      <c r="AE4" s="118"/>
      <c r="AF4" s="118"/>
      <c r="AG4" s="118"/>
      <c r="AH4" s="118"/>
      <c r="AI4" s="118"/>
      <c r="AJ4" s="48"/>
    </row>
    <row r="5" spans="1:36" s="4" customFormat="1" ht="15" customHeight="1" x14ac:dyDescent="0.25">
      <c r="A5" s="128" t="s">
        <v>21</v>
      </c>
      <c r="B5" s="128" t="s">
        <v>22</v>
      </c>
      <c r="C5" s="133" t="s">
        <v>0</v>
      </c>
      <c r="D5" s="119" t="s">
        <v>1</v>
      </c>
      <c r="E5" s="129" t="s">
        <v>2</v>
      </c>
      <c r="F5" s="129"/>
      <c r="G5" s="129"/>
      <c r="H5" s="129"/>
      <c r="I5" s="129" t="s">
        <v>3</v>
      </c>
      <c r="J5" s="129"/>
      <c r="K5" s="129" t="s">
        <v>4</v>
      </c>
      <c r="L5" s="142"/>
      <c r="M5" s="129"/>
      <c r="N5" s="129"/>
      <c r="O5" s="129"/>
      <c r="P5" s="130" t="s">
        <v>5</v>
      </c>
      <c r="Q5" s="131"/>
      <c r="R5" s="132"/>
      <c r="S5" s="133" t="s">
        <v>6</v>
      </c>
      <c r="T5" s="129" t="s">
        <v>7</v>
      </c>
      <c r="U5" s="135"/>
      <c r="V5" s="129"/>
      <c r="W5" s="129"/>
      <c r="X5" s="129"/>
      <c r="Y5" s="133" t="s">
        <v>8418</v>
      </c>
      <c r="Z5" s="136" t="s">
        <v>2680</v>
      </c>
      <c r="AA5" s="138" t="s">
        <v>2954</v>
      </c>
      <c r="AB5" s="138"/>
      <c r="AC5" s="138"/>
      <c r="AD5" s="138"/>
      <c r="AE5" s="118" t="s">
        <v>2680</v>
      </c>
      <c r="AF5" s="118" t="s">
        <v>2951</v>
      </c>
      <c r="AG5" s="139" t="s">
        <v>2955</v>
      </c>
      <c r="AH5" s="140"/>
      <c r="AI5" s="99"/>
      <c r="AJ5" s="115"/>
    </row>
    <row r="6" spans="1:36" s="4" customFormat="1" ht="72" x14ac:dyDescent="0.25">
      <c r="A6" s="128"/>
      <c r="B6" s="128"/>
      <c r="C6" s="134"/>
      <c r="D6" s="120"/>
      <c r="E6" s="5" t="s">
        <v>8</v>
      </c>
      <c r="F6" s="6" t="s">
        <v>9</v>
      </c>
      <c r="G6" s="7" t="s">
        <v>10</v>
      </c>
      <c r="H6" s="7" t="s">
        <v>27</v>
      </c>
      <c r="I6" s="5" t="s">
        <v>11</v>
      </c>
      <c r="J6" s="6" t="s">
        <v>12</v>
      </c>
      <c r="K6" s="7" t="s">
        <v>8</v>
      </c>
      <c r="L6" s="25" t="s">
        <v>13</v>
      </c>
      <c r="M6" s="25" t="s">
        <v>24</v>
      </c>
      <c r="N6" s="7" t="s">
        <v>25</v>
      </c>
      <c r="O6" s="67" t="s">
        <v>14</v>
      </c>
      <c r="P6" s="67" t="s">
        <v>26</v>
      </c>
      <c r="Q6" s="7" t="s">
        <v>15</v>
      </c>
      <c r="R6" s="27" t="s">
        <v>2679</v>
      </c>
      <c r="S6" s="134"/>
      <c r="T6" s="7" t="s">
        <v>16</v>
      </c>
      <c r="U6" s="23" t="s">
        <v>17</v>
      </c>
      <c r="V6" s="7" t="s">
        <v>18</v>
      </c>
      <c r="W6" s="7" t="s">
        <v>19</v>
      </c>
      <c r="X6" s="7" t="s">
        <v>20</v>
      </c>
      <c r="Y6" s="134"/>
      <c r="Z6" s="137"/>
      <c r="AA6" s="95" t="s">
        <v>8458</v>
      </c>
      <c r="AB6" s="96" t="s">
        <v>2886</v>
      </c>
      <c r="AC6" s="95" t="s">
        <v>2887</v>
      </c>
      <c r="AD6" s="95" t="s">
        <v>2888</v>
      </c>
      <c r="AE6" s="118"/>
      <c r="AF6" s="118"/>
      <c r="AG6" s="97" t="s">
        <v>2885</v>
      </c>
      <c r="AH6" s="117" t="s">
        <v>2684</v>
      </c>
      <c r="AI6" s="117" t="s">
        <v>8250</v>
      </c>
      <c r="AJ6" s="29" t="s">
        <v>8540</v>
      </c>
    </row>
    <row r="7" spans="1:36" s="3" customFormat="1" ht="72" x14ac:dyDescent="0.25">
      <c r="A7" s="17" t="s">
        <v>182</v>
      </c>
      <c r="B7" s="18" t="s">
        <v>2913</v>
      </c>
      <c r="C7" s="19" t="s">
        <v>187</v>
      </c>
      <c r="D7" s="45" t="s">
        <v>188</v>
      </c>
      <c r="E7" s="50"/>
      <c r="F7" s="58"/>
      <c r="G7" s="51"/>
      <c r="H7" s="51"/>
      <c r="I7" s="50" t="s">
        <v>189</v>
      </c>
      <c r="J7" s="58" t="s">
        <v>190</v>
      </c>
      <c r="K7" s="52" t="s">
        <v>191</v>
      </c>
      <c r="L7" s="59">
        <v>42426</v>
      </c>
      <c r="M7" s="60">
        <f>L7+420</f>
        <v>42846</v>
      </c>
      <c r="N7" s="51">
        <v>26494875.460000001</v>
      </c>
      <c r="O7" s="59" t="s">
        <v>4269</v>
      </c>
      <c r="P7" s="59">
        <f>M7+5*30</f>
        <v>42996</v>
      </c>
      <c r="Q7" s="51">
        <f>929875.99+818872.8</f>
        <v>1748748.79</v>
      </c>
      <c r="R7" s="51">
        <f>N7+Q7</f>
        <v>28243624.25</v>
      </c>
      <c r="S7" s="51"/>
      <c r="T7" s="52" t="s">
        <v>52</v>
      </c>
      <c r="U7" s="51">
        <v>15821165.73</v>
      </c>
      <c r="V7" s="51">
        <v>15821165.73</v>
      </c>
      <c r="W7" s="51">
        <v>15821165.73</v>
      </c>
      <c r="X7" s="51">
        <f>10530638.38+15821165.73</f>
        <v>26351804.109999999</v>
      </c>
      <c r="Y7" s="19" t="s">
        <v>2273</v>
      </c>
      <c r="Z7" s="19"/>
      <c r="AA7" s="28" t="s">
        <v>8510</v>
      </c>
      <c r="AB7" s="56">
        <v>43417</v>
      </c>
      <c r="AC7" s="28" t="s">
        <v>7087</v>
      </c>
      <c r="AD7" s="28" t="s">
        <v>7088</v>
      </c>
      <c r="AE7" s="54" t="s">
        <v>7089</v>
      </c>
      <c r="AF7" s="54"/>
      <c r="AG7" s="54" t="s">
        <v>7090</v>
      </c>
      <c r="AH7" s="53" t="s">
        <v>1591</v>
      </c>
      <c r="AI7" s="53" t="s">
        <v>2686</v>
      </c>
      <c r="AJ7" s="53" t="s">
        <v>1591</v>
      </c>
    </row>
    <row r="8" spans="1:36" s="3" customFormat="1" ht="72" x14ac:dyDescent="0.25">
      <c r="A8" s="17" t="s">
        <v>182</v>
      </c>
      <c r="B8" s="18" t="s">
        <v>2913</v>
      </c>
      <c r="C8" s="19" t="s">
        <v>192</v>
      </c>
      <c r="D8" s="45" t="s">
        <v>193</v>
      </c>
      <c r="E8" s="50"/>
      <c r="F8" s="58"/>
      <c r="G8" s="51"/>
      <c r="H8" s="51"/>
      <c r="I8" s="50" t="s">
        <v>194</v>
      </c>
      <c r="J8" s="58" t="s">
        <v>195</v>
      </c>
      <c r="K8" s="52" t="s">
        <v>196</v>
      </c>
      <c r="L8" s="59">
        <v>41543</v>
      </c>
      <c r="M8" s="60">
        <f>L8+150</f>
        <v>41693</v>
      </c>
      <c r="N8" s="51">
        <v>165000</v>
      </c>
      <c r="O8" s="59">
        <v>43003</v>
      </c>
      <c r="P8" s="59">
        <f>M8+27*30</f>
        <v>42503</v>
      </c>
      <c r="Q8" s="51">
        <v>8136.44</v>
      </c>
      <c r="R8" s="51">
        <f>N8+Q8</f>
        <v>173136.44</v>
      </c>
      <c r="S8" s="51"/>
      <c r="T8" s="52" t="s">
        <v>185</v>
      </c>
      <c r="U8" s="51">
        <v>0</v>
      </c>
      <c r="V8" s="51">
        <v>0</v>
      </c>
      <c r="W8" s="51">
        <v>0</v>
      </c>
      <c r="X8" s="51">
        <v>0</v>
      </c>
      <c r="Y8" s="19" t="s">
        <v>4270</v>
      </c>
      <c r="Z8" s="19"/>
      <c r="AA8" s="28" t="s">
        <v>8510</v>
      </c>
      <c r="AB8" s="56">
        <v>43417</v>
      </c>
      <c r="AC8" s="28" t="s">
        <v>7087</v>
      </c>
      <c r="AD8" s="28" t="s">
        <v>7088</v>
      </c>
      <c r="AE8" s="54" t="s">
        <v>7091</v>
      </c>
      <c r="AF8" s="54"/>
      <c r="AG8" s="54" t="s">
        <v>7092</v>
      </c>
      <c r="AH8" s="53" t="s">
        <v>1591</v>
      </c>
      <c r="AI8" s="53" t="s">
        <v>2686</v>
      </c>
      <c r="AJ8" s="53" t="s">
        <v>1591</v>
      </c>
    </row>
    <row r="9" spans="1:36" s="3" customFormat="1" ht="96" x14ac:dyDescent="0.25">
      <c r="A9" s="17" t="s">
        <v>182</v>
      </c>
      <c r="B9" s="18" t="s">
        <v>2309</v>
      </c>
      <c r="C9" s="76" t="s">
        <v>5851</v>
      </c>
      <c r="D9" s="45" t="s">
        <v>5852</v>
      </c>
      <c r="E9" s="78"/>
      <c r="F9" s="79" t="s">
        <v>548</v>
      </c>
      <c r="G9" s="80"/>
      <c r="H9" s="80" t="s">
        <v>541</v>
      </c>
      <c r="I9" s="78" t="s">
        <v>892</v>
      </c>
      <c r="J9" s="79" t="s">
        <v>4772</v>
      </c>
      <c r="K9" s="81" t="s">
        <v>833</v>
      </c>
      <c r="L9" s="82">
        <v>42172</v>
      </c>
      <c r="M9" s="83">
        <v>42292</v>
      </c>
      <c r="N9" s="80">
        <v>4813409.1900000004</v>
      </c>
      <c r="O9" s="82">
        <v>42652</v>
      </c>
      <c r="P9" s="84">
        <v>330</v>
      </c>
      <c r="Q9" s="80">
        <v>0</v>
      </c>
      <c r="R9" s="80">
        <v>4813409.1900000004</v>
      </c>
      <c r="S9" s="80" t="s">
        <v>541</v>
      </c>
      <c r="T9" s="81" t="s">
        <v>52</v>
      </c>
      <c r="U9" s="80">
        <v>1546596.78</v>
      </c>
      <c r="V9" s="80"/>
      <c r="W9" s="80"/>
      <c r="X9" s="80">
        <v>1546596.78</v>
      </c>
      <c r="Y9" s="76" t="s">
        <v>5853</v>
      </c>
      <c r="Z9" s="19" t="s">
        <v>7038</v>
      </c>
      <c r="AA9" s="28" t="s">
        <v>7093</v>
      </c>
      <c r="AB9" s="56">
        <v>43423</v>
      </c>
      <c r="AC9" s="28" t="s">
        <v>7094</v>
      </c>
      <c r="AD9" s="28" t="s">
        <v>7095</v>
      </c>
      <c r="AE9" s="54" t="s">
        <v>7096</v>
      </c>
      <c r="AF9" s="54"/>
      <c r="AG9" s="54" t="s">
        <v>33</v>
      </c>
      <c r="AH9" s="53" t="s">
        <v>1591</v>
      </c>
      <c r="AI9" s="53" t="s">
        <v>2686</v>
      </c>
      <c r="AJ9" s="53" t="s">
        <v>1591</v>
      </c>
    </row>
    <row r="10" spans="1:36" s="3" customFormat="1" ht="108" x14ac:dyDescent="0.25">
      <c r="A10" s="35" t="s">
        <v>2685</v>
      </c>
      <c r="B10" s="34" t="s">
        <v>2687</v>
      </c>
      <c r="C10" s="76"/>
      <c r="D10" s="43" t="s">
        <v>5854</v>
      </c>
      <c r="E10" s="78"/>
      <c r="F10" s="36" t="s">
        <v>548</v>
      </c>
      <c r="G10" s="80"/>
      <c r="H10" s="80"/>
      <c r="I10" s="36" t="s">
        <v>5509</v>
      </c>
      <c r="J10" s="34" t="s">
        <v>5855</v>
      </c>
      <c r="K10" s="37" t="s">
        <v>928</v>
      </c>
      <c r="L10" s="38">
        <v>41491</v>
      </c>
      <c r="M10" s="39">
        <v>41611</v>
      </c>
      <c r="N10" s="42">
        <v>4790069.1399999997</v>
      </c>
      <c r="O10" s="85" t="s">
        <v>5856</v>
      </c>
      <c r="P10" s="86">
        <v>42151</v>
      </c>
      <c r="Q10" s="41">
        <v>0</v>
      </c>
      <c r="R10" s="41">
        <v>4790069.1399999997</v>
      </c>
      <c r="S10" s="80"/>
      <c r="T10" s="81"/>
      <c r="U10" s="80"/>
      <c r="V10" s="80"/>
      <c r="W10" s="42"/>
      <c r="X10" s="42">
        <v>2016536.26</v>
      </c>
      <c r="Y10" s="34" t="s">
        <v>4321</v>
      </c>
      <c r="Z10" s="19" t="s">
        <v>7038</v>
      </c>
      <c r="AA10" s="28" t="s">
        <v>7093</v>
      </c>
      <c r="AB10" s="56">
        <v>43423</v>
      </c>
      <c r="AC10" s="28" t="s">
        <v>7094</v>
      </c>
      <c r="AD10" s="28" t="s">
        <v>7095</v>
      </c>
      <c r="AE10" s="54" t="s">
        <v>7097</v>
      </c>
      <c r="AF10" s="54"/>
      <c r="AG10" s="54" t="s">
        <v>7098</v>
      </c>
      <c r="AH10" s="53" t="s">
        <v>1591</v>
      </c>
      <c r="AI10" s="53" t="s">
        <v>2686</v>
      </c>
      <c r="AJ10" s="53" t="s">
        <v>1591</v>
      </c>
    </row>
    <row r="11" spans="1:36" s="3" customFormat="1" ht="144" x14ac:dyDescent="0.25">
      <c r="A11" s="17" t="s">
        <v>182</v>
      </c>
      <c r="B11" s="18" t="s">
        <v>2309</v>
      </c>
      <c r="C11" s="76" t="s">
        <v>5859</v>
      </c>
      <c r="D11" s="45" t="s">
        <v>5860</v>
      </c>
      <c r="E11" s="78"/>
      <c r="F11" s="79" t="s">
        <v>5857</v>
      </c>
      <c r="G11" s="80"/>
      <c r="H11" s="80" t="s">
        <v>541</v>
      </c>
      <c r="I11" s="78" t="s">
        <v>1069</v>
      </c>
      <c r="J11" s="79" t="s">
        <v>1070</v>
      </c>
      <c r="K11" s="81" t="s">
        <v>5861</v>
      </c>
      <c r="L11" s="82">
        <v>41573</v>
      </c>
      <c r="M11" s="83">
        <v>41663</v>
      </c>
      <c r="N11" s="80">
        <v>1150173.8</v>
      </c>
      <c r="O11" s="82">
        <v>42604</v>
      </c>
      <c r="P11" s="84">
        <v>900</v>
      </c>
      <c r="Q11" s="80">
        <v>0</v>
      </c>
      <c r="R11" s="80">
        <v>1150173.8</v>
      </c>
      <c r="S11" s="80" t="s">
        <v>541</v>
      </c>
      <c r="T11" s="81" t="s">
        <v>52</v>
      </c>
      <c r="U11" s="80">
        <v>991823.37</v>
      </c>
      <c r="V11" s="80"/>
      <c r="W11" s="80"/>
      <c r="X11" s="80">
        <v>991823.37</v>
      </c>
      <c r="Y11" s="76" t="s">
        <v>33</v>
      </c>
      <c r="Z11" s="19" t="s">
        <v>7038</v>
      </c>
      <c r="AA11" s="28" t="s">
        <v>7093</v>
      </c>
      <c r="AB11" s="56">
        <v>43423</v>
      </c>
      <c r="AC11" s="28" t="s">
        <v>7094</v>
      </c>
      <c r="AD11" s="28" t="s">
        <v>7095</v>
      </c>
      <c r="AE11" s="54" t="s">
        <v>7097</v>
      </c>
      <c r="AF11" s="54"/>
      <c r="AG11" s="54" t="s">
        <v>7100</v>
      </c>
      <c r="AH11" s="53" t="s">
        <v>1591</v>
      </c>
      <c r="AI11" s="53" t="s">
        <v>2686</v>
      </c>
      <c r="AJ11" s="53" t="s">
        <v>1591</v>
      </c>
    </row>
    <row r="12" spans="1:36" s="3" customFormat="1" ht="168" x14ac:dyDescent="0.25">
      <c r="A12" s="17" t="s">
        <v>182</v>
      </c>
      <c r="B12" s="18" t="s">
        <v>2309</v>
      </c>
      <c r="C12" s="76" t="s">
        <v>5863</v>
      </c>
      <c r="D12" s="45" t="s">
        <v>5864</v>
      </c>
      <c r="E12" s="78"/>
      <c r="F12" s="79" t="s">
        <v>548</v>
      </c>
      <c r="G12" s="80"/>
      <c r="H12" s="80" t="s">
        <v>541</v>
      </c>
      <c r="I12" s="78" t="s">
        <v>5530</v>
      </c>
      <c r="J12" s="79" t="s">
        <v>5862</v>
      </c>
      <c r="K12" s="81" t="s">
        <v>571</v>
      </c>
      <c r="L12" s="82">
        <v>42149</v>
      </c>
      <c r="M12" s="83">
        <v>42269</v>
      </c>
      <c r="N12" s="80">
        <v>742151.53</v>
      </c>
      <c r="O12" s="82">
        <v>42601</v>
      </c>
      <c r="P12" s="84">
        <v>330</v>
      </c>
      <c r="Q12" s="80">
        <v>0</v>
      </c>
      <c r="R12" s="80">
        <v>742151.53</v>
      </c>
      <c r="S12" s="80" t="s">
        <v>541</v>
      </c>
      <c r="T12" s="81" t="s">
        <v>52</v>
      </c>
      <c r="U12" s="80">
        <v>157290.78</v>
      </c>
      <c r="V12" s="80"/>
      <c r="W12" s="80"/>
      <c r="X12" s="80">
        <v>157290.78</v>
      </c>
      <c r="Y12" s="76" t="s">
        <v>5865</v>
      </c>
      <c r="Z12" s="19" t="s">
        <v>7038</v>
      </c>
      <c r="AA12" s="28" t="s">
        <v>7093</v>
      </c>
      <c r="AB12" s="56">
        <v>43423</v>
      </c>
      <c r="AC12" s="28" t="s">
        <v>7094</v>
      </c>
      <c r="AD12" s="28" t="s">
        <v>7095</v>
      </c>
      <c r="AE12" s="54" t="s">
        <v>7097</v>
      </c>
      <c r="AF12" s="54"/>
      <c r="AG12" s="54" t="s">
        <v>7101</v>
      </c>
      <c r="AH12" s="53" t="s">
        <v>1591</v>
      </c>
      <c r="AI12" s="53" t="s">
        <v>2686</v>
      </c>
      <c r="AJ12" s="53" t="s">
        <v>1591</v>
      </c>
    </row>
    <row r="13" spans="1:36" s="3" customFormat="1" ht="60" x14ac:dyDescent="0.25">
      <c r="A13" s="17" t="s">
        <v>182</v>
      </c>
      <c r="B13" s="18" t="s">
        <v>2309</v>
      </c>
      <c r="C13" s="19"/>
      <c r="D13" s="45" t="s">
        <v>3992</v>
      </c>
      <c r="E13" s="50"/>
      <c r="F13" s="58" t="s">
        <v>550</v>
      </c>
      <c r="G13" s="51"/>
      <c r="H13" s="51"/>
      <c r="I13" s="50" t="s">
        <v>147</v>
      </c>
      <c r="J13" s="58" t="s">
        <v>148</v>
      </c>
      <c r="K13" s="52" t="s">
        <v>480</v>
      </c>
      <c r="L13" s="59" t="s">
        <v>2883</v>
      </c>
      <c r="M13" s="60">
        <f>L13+90</f>
        <v>42743</v>
      </c>
      <c r="N13" s="51">
        <v>656320.04</v>
      </c>
      <c r="O13" s="59">
        <v>43069</v>
      </c>
      <c r="P13" s="59">
        <f>M13+300</f>
        <v>43043</v>
      </c>
      <c r="Q13" s="51">
        <v>0</v>
      </c>
      <c r="R13" s="51">
        <f t="shared" ref="R13:R18" si="0">N13+Q13</f>
        <v>656320.04</v>
      </c>
      <c r="S13" s="51" t="s">
        <v>541</v>
      </c>
      <c r="T13" s="52" t="s">
        <v>52</v>
      </c>
      <c r="U13" s="51" t="s">
        <v>4271</v>
      </c>
      <c r="V13" s="51">
        <v>291457.42</v>
      </c>
      <c r="W13" s="51">
        <v>291457.42</v>
      </c>
      <c r="X13" s="51">
        <v>392678.56</v>
      </c>
      <c r="Y13" s="19" t="s">
        <v>4272</v>
      </c>
      <c r="Z13" s="19"/>
      <c r="AA13" s="28" t="s">
        <v>7093</v>
      </c>
      <c r="AB13" s="56">
        <v>43423</v>
      </c>
      <c r="AC13" s="28" t="s">
        <v>7094</v>
      </c>
      <c r="AD13" s="28" t="s">
        <v>7095</v>
      </c>
      <c r="AE13" s="54" t="s">
        <v>7096</v>
      </c>
      <c r="AF13" s="54"/>
      <c r="AG13" s="54" t="s">
        <v>7099</v>
      </c>
      <c r="AH13" s="53" t="s">
        <v>1591</v>
      </c>
      <c r="AI13" s="53" t="s">
        <v>2686</v>
      </c>
      <c r="AJ13" s="53" t="s">
        <v>1591</v>
      </c>
    </row>
    <row r="14" spans="1:36" s="3" customFormat="1" ht="144" x14ac:dyDescent="0.25">
      <c r="A14" s="17" t="s">
        <v>182</v>
      </c>
      <c r="B14" s="18" t="s">
        <v>2309</v>
      </c>
      <c r="C14" s="19"/>
      <c r="D14" s="45" t="s">
        <v>3994</v>
      </c>
      <c r="E14" s="50"/>
      <c r="F14" s="58" t="s">
        <v>548</v>
      </c>
      <c r="G14" s="51"/>
      <c r="H14" s="51"/>
      <c r="I14" s="50" t="s">
        <v>558</v>
      </c>
      <c r="J14" s="58" t="s">
        <v>559</v>
      </c>
      <c r="K14" s="52" t="s">
        <v>948</v>
      </c>
      <c r="L14" s="59" t="s">
        <v>3122</v>
      </c>
      <c r="M14" s="60">
        <f>L14+90</f>
        <v>42827</v>
      </c>
      <c r="N14" s="51">
        <v>168601.08</v>
      </c>
      <c r="O14" s="59">
        <v>42993</v>
      </c>
      <c r="P14" s="59">
        <f>M14+160</f>
        <v>42987</v>
      </c>
      <c r="Q14" s="51">
        <v>0</v>
      </c>
      <c r="R14" s="51">
        <f t="shared" si="0"/>
        <v>168601.08</v>
      </c>
      <c r="S14" s="51" t="s">
        <v>541</v>
      </c>
      <c r="T14" s="52" t="s">
        <v>52</v>
      </c>
      <c r="U14" s="51" t="s">
        <v>4275</v>
      </c>
      <c r="V14" s="51">
        <v>111597.34</v>
      </c>
      <c r="W14" s="51">
        <v>111597.34</v>
      </c>
      <c r="X14" s="51">
        <v>111597.34</v>
      </c>
      <c r="Y14" s="19" t="s">
        <v>4276</v>
      </c>
      <c r="Z14" s="19"/>
      <c r="AA14" s="28" t="s">
        <v>7093</v>
      </c>
      <c r="AB14" s="56">
        <v>43423</v>
      </c>
      <c r="AC14" s="28" t="s">
        <v>7094</v>
      </c>
      <c r="AD14" s="28" t="s">
        <v>7095</v>
      </c>
      <c r="AE14" s="54" t="s">
        <v>7096</v>
      </c>
      <c r="AF14" s="54"/>
      <c r="AG14" s="54" t="s">
        <v>7099</v>
      </c>
      <c r="AH14" s="53" t="s">
        <v>1591</v>
      </c>
      <c r="AI14" s="53" t="s">
        <v>2686</v>
      </c>
      <c r="AJ14" s="53" t="s">
        <v>1591</v>
      </c>
    </row>
    <row r="15" spans="1:36" s="3" customFormat="1" ht="108" x14ac:dyDescent="0.25">
      <c r="A15" s="17" t="s">
        <v>182</v>
      </c>
      <c r="B15" s="18" t="s">
        <v>2309</v>
      </c>
      <c r="C15" s="19"/>
      <c r="D15" s="45" t="s">
        <v>3993</v>
      </c>
      <c r="E15" s="50"/>
      <c r="F15" s="58" t="s">
        <v>548</v>
      </c>
      <c r="G15" s="51"/>
      <c r="H15" s="51"/>
      <c r="I15" s="50" t="s">
        <v>558</v>
      </c>
      <c r="J15" s="58" t="s">
        <v>559</v>
      </c>
      <c r="K15" s="52" t="s">
        <v>560</v>
      </c>
      <c r="L15" s="59" t="s">
        <v>3122</v>
      </c>
      <c r="M15" s="60">
        <f>L15+60</f>
        <v>42797</v>
      </c>
      <c r="N15" s="51">
        <v>160246.68</v>
      </c>
      <c r="O15" s="59">
        <v>42852</v>
      </c>
      <c r="P15" s="59">
        <f>M15+150</f>
        <v>42947</v>
      </c>
      <c r="Q15" s="51">
        <v>0</v>
      </c>
      <c r="R15" s="51">
        <f t="shared" si="0"/>
        <v>160246.68</v>
      </c>
      <c r="S15" s="51" t="s">
        <v>541</v>
      </c>
      <c r="T15" s="52" t="s">
        <v>52</v>
      </c>
      <c r="U15" s="51" t="s">
        <v>4273</v>
      </c>
      <c r="V15" s="51">
        <v>141415.07999999999</v>
      </c>
      <c r="W15" s="51">
        <v>141415.07999999999</v>
      </c>
      <c r="X15" s="51">
        <v>141415.07999999999</v>
      </c>
      <c r="Y15" s="19" t="s">
        <v>4274</v>
      </c>
      <c r="Z15" s="19"/>
      <c r="AA15" s="28" t="s">
        <v>7093</v>
      </c>
      <c r="AB15" s="56">
        <v>43423</v>
      </c>
      <c r="AC15" s="28" t="s">
        <v>7094</v>
      </c>
      <c r="AD15" s="28" t="s">
        <v>7095</v>
      </c>
      <c r="AE15" s="54" t="s">
        <v>7097</v>
      </c>
      <c r="AF15" s="54"/>
      <c r="AG15" s="54" t="s">
        <v>7102</v>
      </c>
      <c r="AH15" s="53" t="s">
        <v>1591</v>
      </c>
      <c r="AI15" s="53" t="s">
        <v>2686</v>
      </c>
      <c r="AJ15" s="53" t="s">
        <v>1591</v>
      </c>
    </row>
    <row r="16" spans="1:36" s="3" customFormat="1" ht="144" x14ac:dyDescent="0.25">
      <c r="A16" s="17" t="s">
        <v>182</v>
      </c>
      <c r="B16" s="18" t="s">
        <v>2600</v>
      </c>
      <c r="C16" s="19" t="s">
        <v>3996</v>
      </c>
      <c r="D16" s="45" t="s">
        <v>3997</v>
      </c>
      <c r="E16" s="50" t="s">
        <v>46</v>
      </c>
      <c r="F16" s="58" t="s">
        <v>46</v>
      </c>
      <c r="G16" s="51" t="s">
        <v>46</v>
      </c>
      <c r="H16" s="51" t="s">
        <v>46</v>
      </c>
      <c r="I16" s="50" t="s">
        <v>46</v>
      </c>
      <c r="J16" s="58" t="s">
        <v>46</v>
      </c>
      <c r="K16" s="52" t="s">
        <v>46</v>
      </c>
      <c r="L16" s="59" t="s">
        <v>46</v>
      </c>
      <c r="M16" s="60" t="s">
        <v>46</v>
      </c>
      <c r="N16" s="51"/>
      <c r="O16" s="59" t="s">
        <v>175</v>
      </c>
      <c r="P16" s="59" t="s">
        <v>46</v>
      </c>
      <c r="Q16" s="51"/>
      <c r="R16" s="51">
        <f t="shared" si="0"/>
        <v>0</v>
      </c>
      <c r="S16" s="51"/>
      <c r="T16" s="52" t="s">
        <v>46</v>
      </c>
      <c r="U16" s="51"/>
      <c r="V16" s="51" t="s">
        <v>46</v>
      </c>
      <c r="W16" s="51"/>
      <c r="X16" s="51"/>
      <c r="Y16" s="19" t="s">
        <v>175</v>
      </c>
      <c r="Z16" s="19" t="s">
        <v>4309</v>
      </c>
      <c r="AA16" s="28" t="s">
        <v>7103</v>
      </c>
      <c r="AB16" s="56">
        <v>43392</v>
      </c>
      <c r="AC16" s="28" t="s">
        <v>7104</v>
      </c>
      <c r="AD16" s="28" t="s">
        <v>7105</v>
      </c>
      <c r="AE16" s="54" t="s">
        <v>7106</v>
      </c>
      <c r="AF16" s="54"/>
      <c r="AG16" s="54" t="s">
        <v>7107</v>
      </c>
      <c r="AH16" s="53" t="s">
        <v>1591</v>
      </c>
      <c r="AI16" s="53" t="s">
        <v>2686</v>
      </c>
      <c r="AJ16" s="53" t="s">
        <v>1591</v>
      </c>
    </row>
    <row r="17" spans="1:36" s="3" customFormat="1" ht="60" x14ac:dyDescent="0.25">
      <c r="A17" s="17" t="s">
        <v>182</v>
      </c>
      <c r="B17" s="18" t="s">
        <v>2535</v>
      </c>
      <c r="C17" s="19" t="s">
        <v>2582</v>
      </c>
      <c r="D17" s="45" t="s">
        <v>2583</v>
      </c>
      <c r="E17" s="50" t="s">
        <v>39</v>
      </c>
      <c r="F17" s="58" t="s">
        <v>39</v>
      </c>
      <c r="G17" s="51"/>
      <c r="H17" s="51"/>
      <c r="I17" s="50" t="s">
        <v>2538</v>
      </c>
      <c r="J17" s="58" t="s">
        <v>2539</v>
      </c>
      <c r="K17" s="52" t="s">
        <v>459</v>
      </c>
      <c r="L17" s="59">
        <v>41526</v>
      </c>
      <c r="M17" s="60">
        <v>42846</v>
      </c>
      <c r="N17" s="51">
        <v>123203031.54000001</v>
      </c>
      <c r="O17" s="59">
        <v>43191</v>
      </c>
      <c r="P17" s="59">
        <f>M17+660</f>
        <v>43506</v>
      </c>
      <c r="Q17" s="51">
        <f>120561700.33-N17</f>
        <v>-2641331.2100000083</v>
      </c>
      <c r="R17" s="51">
        <f t="shared" si="0"/>
        <v>120561700.33</v>
      </c>
      <c r="S17" s="51">
        <v>32747.040000000001</v>
      </c>
      <c r="T17" s="52" t="s">
        <v>45</v>
      </c>
      <c r="U17" s="51">
        <v>123358.52</v>
      </c>
      <c r="V17" s="51">
        <v>0</v>
      </c>
      <c r="W17" s="51">
        <v>0</v>
      </c>
      <c r="X17" s="51">
        <v>0</v>
      </c>
      <c r="Y17" s="19" t="s">
        <v>42</v>
      </c>
      <c r="Z17" s="19"/>
      <c r="AA17" s="28" t="s">
        <v>7108</v>
      </c>
      <c r="AB17" s="56">
        <v>43418</v>
      </c>
      <c r="AC17" s="28" t="s">
        <v>7109</v>
      </c>
      <c r="AD17" s="28" t="s">
        <v>7110</v>
      </c>
      <c r="AE17" s="54" t="s">
        <v>7111</v>
      </c>
      <c r="AF17" s="54"/>
      <c r="AG17" s="54" t="s">
        <v>7112</v>
      </c>
      <c r="AH17" s="53" t="s">
        <v>1591</v>
      </c>
      <c r="AI17" s="53" t="s">
        <v>2686</v>
      </c>
      <c r="AJ17" s="53" t="s">
        <v>1591</v>
      </c>
    </row>
    <row r="18" spans="1:36" s="3" customFormat="1" ht="48" x14ac:dyDescent="0.25">
      <c r="A18" s="17" t="s">
        <v>182</v>
      </c>
      <c r="B18" s="18" t="s">
        <v>2535</v>
      </c>
      <c r="C18" s="19" t="s">
        <v>662</v>
      </c>
      <c r="D18" s="45" t="s">
        <v>2536</v>
      </c>
      <c r="E18" s="50" t="s">
        <v>2537</v>
      </c>
      <c r="F18" s="58">
        <v>165000000</v>
      </c>
      <c r="G18" s="51">
        <v>156750000</v>
      </c>
      <c r="H18" s="51">
        <v>8250000</v>
      </c>
      <c r="I18" s="50" t="s">
        <v>2538</v>
      </c>
      <c r="J18" s="58" t="s">
        <v>2539</v>
      </c>
      <c r="K18" s="52" t="s">
        <v>2513</v>
      </c>
      <c r="L18" s="59">
        <v>41143</v>
      </c>
      <c r="M18" s="60">
        <v>42618</v>
      </c>
      <c r="N18" s="51">
        <v>72865691.640000001</v>
      </c>
      <c r="O18" s="59">
        <v>43040</v>
      </c>
      <c r="P18" s="59">
        <f>M18+(24*30)+20</f>
        <v>43358</v>
      </c>
      <c r="Q18" s="51">
        <f>85983679.91-N18</f>
        <v>13117988.269999996</v>
      </c>
      <c r="R18" s="51">
        <f t="shared" si="0"/>
        <v>85983679.909999996</v>
      </c>
      <c r="S18" s="51">
        <v>10867640.310000001</v>
      </c>
      <c r="T18" s="52" t="s">
        <v>45</v>
      </c>
      <c r="U18" s="51">
        <v>6655803.8600000003</v>
      </c>
      <c r="V18" s="51">
        <v>8549784.2799999993</v>
      </c>
      <c r="W18" s="51">
        <v>8549784.2799999993</v>
      </c>
      <c r="X18" s="51">
        <v>59497368.189999998</v>
      </c>
      <c r="Y18" s="19" t="s">
        <v>575</v>
      </c>
      <c r="Z18" s="19"/>
      <c r="AA18" s="28" t="s">
        <v>7108</v>
      </c>
      <c r="AB18" s="56">
        <v>43418</v>
      </c>
      <c r="AC18" s="28" t="s">
        <v>7109</v>
      </c>
      <c r="AD18" s="28" t="s">
        <v>7110</v>
      </c>
      <c r="AE18" s="54"/>
      <c r="AF18" s="54" t="s">
        <v>8251</v>
      </c>
      <c r="AG18" s="54" t="s">
        <v>7113</v>
      </c>
      <c r="AH18" s="53" t="s">
        <v>1591</v>
      </c>
      <c r="AI18" s="53" t="s">
        <v>2686</v>
      </c>
      <c r="AJ18" s="53" t="s">
        <v>1591</v>
      </c>
    </row>
    <row r="19" spans="1:36" s="3" customFormat="1" ht="48" x14ac:dyDescent="0.25">
      <c r="A19" s="17" t="s">
        <v>182</v>
      </c>
      <c r="B19" s="18" t="s">
        <v>2535</v>
      </c>
      <c r="C19" s="76" t="s">
        <v>5867</v>
      </c>
      <c r="D19" s="45" t="s">
        <v>5868</v>
      </c>
      <c r="E19" s="78" t="s">
        <v>5869</v>
      </c>
      <c r="F19" s="79">
        <v>117781821.56999999</v>
      </c>
      <c r="G19" s="80">
        <v>91698224.400000006</v>
      </c>
      <c r="H19" s="80" t="s">
        <v>5870</v>
      </c>
      <c r="I19" s="78" t="s">
        <v>253</v>
      </c>
      <c r="J19" s="79" t="s">
        <v>254</v>
      </c>
      <c r="K19" s="81" t="s">
        <v>5871</v>
      </c>
      <c r="L19" s="82">
        <v>40905</v>
      </c>
      <c r="M19" s="83">
        <v>42523</v>
      </c>
      <c r="N19" s="80">
        <v>77437798.079999998</v>
      </c>
      <c r="O19" s="82">
        <v>43586</v>
      </c>
      <c r="P19" s="84" t="s">
        <v>5872</v>
      </c>
      <c r="Q19" s="80">
        <v>0</v>
      </c>
      <c r="R19" s="80">
        <v>77437798.079999998</v>
      </c>
      <c r="S19" s="80">
        <v>14405.23</v>
      </c>
      <c r="T19" s="81" t="s">
        <v>45</v>
      </c>
      <c r="U19" s="80">
        <v>1206390.3799999999</v>
      </c>
      <c r="V19" s="80"/>
      <c r="W19" s="80"/>
      <c r="X19" s="80">
        <v>911328.45</v>
      </c>
      <c r="Y19" s="76" t="s">
        <v>5873</v>
      </c>
      <c r="Z19" s="19" t="s">
        <v>7038</v>
      </c>
      <c r="AA19" s="28" t="s">
        <v>7108</v>
      </c>
      <c r="AB19" s="56">
        <v>43418</v>
      </c>
      <c r="AC19" s="28" t="s">
        <v>7109</v>
      </c>
      <c r="AD19" s="28" t="s">
        <v>7110</v>
      </c>
      <c r="AE19" s="54"/>
      <c r="AF19" s="54"/>
      <c r="AG19" s="54"/>
      <c r="AH19" s="53"/>
      <c r="AI19" s="53" t="s">
        <v>1591</v>
      </c>
      <c r="AJ19" s="53" t="s">
        <v>1591</v>
      </c>
    </row>
    <row r="20" spans="1:36" s="3" customFormat="1" ht="108" x14ac:dyDescent="0.25">
      <c r="A20" s="17" t="s">
        <v>182</v>
      </c>
      <c r="B20" s="18" t="s">
        <v>2535</v>
      </c>
      <c r="C20" s="76" t="s">
        <v>5874</v>
      </c>
      <c r="D20" s="45" t="s">
        <v>5875</v>
      </c>
      <c r="E20" s="78" t="s">
        <v>5869</v>
      </c>
      <c r="F20" s="79">
        <v>117781821.56999999</v>
      </c>
      <c r="G20" s="80">
        <v>91698224.400000006</v>
      </c>
      <c r="H20" s="80" t="s">
        <v>5870</v>
      </c>
      <c r="I20" s="78" t="s">
        <v>5876</v>
      </c>
      <c r="J20" s="79" t="s">
        <v>5877</v>
      </c>
      <c r="K20" s="81" t="s">
        <v>5878</v>
      </c>
      <c r="L20" s="82">
        <v>39618</v>
      </c>
      <c r="M20" s="83">
        <v>42406</v>
      </c>
      <c r="N20" s="80">
        <v>27556314.98</v>
      </c>
      <c r="O20" s="82">
        <v>43191</v>
      </c>
      <c r="P20" s="84" t="s">
        <v>5879</v>
      </c>
      <c r="Q20" s="80">
        <v>6433012.1600000001</v>
      </c>
      <c r="R20" s="80">
        <v>33989327.140000001</v>
      </c>
      <c r="S20" s="80">
        <v>5913124.5099999998</v>
      </c>
      <c r="T20" s="81" t="s">
        <v>45</v>
      </c>
      <c r="U20" s="80">
        <v>24731225.569999985</v>
      </c>
      <c r="V20" s="80"/>
      <c r="W20" s="80"/>
      <c r="X20" s="80">
        <v>23431270.199999999</v>
      </c>
      <c r="Y20" s="76" t="s">
        <v>5880</v>
      </c>
      <c r="Z20" s="19" t="s">
        <v>7038</v>
      </c>
      <c r="AA20" s="28" t="s">
        <v>7108</v>
      </c>
      <c r="AB20" s="56">
        <v>43418</v>
      </c>
      <c r="AC20" s="28" t="s">
        <v>7109</v>
      </c>
      <c r="AD20" s="28" t="s">
        <v>7110</v>
      </c>
      <c r="AE20" s="54" t="s">
        <v>8253</v>
      </c>
      <c r="AF20" s="54"/>
      <c r="AG20" s="54" t="s">
        <v>8252</v>
      </c>
      <c r="AH20" s="53" t="s">
        <v>1591</v>
      </c>
      <c r="AI20" s="53" t="s">
        <v>2686</v>
      </c>
      <c r="AJ20" s="53" t="s">
        <v>1591</v>
      </c>
    </row>
    <row r="21" spans="1:36" s="3" customFormat="1" ht="108" x14ac:dyDescent="0.25">
      <c r="A21" s="17" t="s">
        <v>182</v>
      </c>
      <c r="B21" s="18" t="s">
        <v>2535</v>
      </c>
      <c r="C21" s="76" t="s">
        <v>5881</v>
      </c>
      <c r="D21" s="45" t="s">
        <v>5882</v>
      </c>
      <c r="E21" s="78" t="s">
        <v>5883</v>
      </c>
      <c r="F21" s="79">
        <v>22507898.109999999</v>
      </c>
      <c r="G21" s="80">
        <v>16680400</v>
      </c>
      <c r="H21" s="80">
        <v>5827498.1100000003</v>
      </c>
      <c r="I21" s="78" t="s">
        <v>5884</v>
      </c>
      <c r="J21" s="79" t="s">
        <v>5885</v>
      </c>
      <c r="K21" s="81" t="s">
        <v>5886</v>
      </c>
      <c r="L21" s="82">
        <v>39618</v>
      </c>
      <c r="M21" s="83">
        <v>42520</v>
      </c>
      <c r="N21" s="80">
        <v>17608493.780000001</v>
      </c>
      <c r="O21" s="82">
        <v>43132</v>
      </c>
      <c r="P21" s="84" t="s">
        <v>5887</v>
      </c>
      <c r="Q21" s="80">
        <v>4401820.3299999982</v>
      </c>
      <c r="R21" s="80">
        <v>22010314.109999999</v>
      </c>
      <c r="S21" s="80">
        <v>2972073.02</v>
      </c>
      <c r="T21" s="81" t="s">
        <v>45</v>
      </c>
      <c r="U21" s="80">
        <v>9818193.9600000009</v>
      </c>
      <c r="V21" s="80"/>
      <c r="W21" s="80"/>
      <c r="X21" s="80">
        <v>9265688.1300000008</v>
      </c>
      <c r="Y21" s="76" t="s">
        <v>5880</v>
      </c>
      <c r="Z21" s="19" t="s">
        <v>7038</v>
      </c>
      <c r="AA21" s="28" t="s">
        <v>7108</v>
      </c>
      <c r="AB21" s="56">
        <v>43418</v>
      </c>
      <c r="AC21" s="28" t="s">
        <v>7109</v>
      </c>
      <c r="AD21" s="28" t="s">
        <v>7110</v>
      </c>
      <c r="AE21" s="54" t="s">
        <v>8255</v>
      </c>
      <c r="AF21" s="54"/>
      <c r="AG21" s="54" t="s">
        <v>8254</v>
      </c>
      <c r="AH21" s="53" t="s">
        <v>1591</v>
      </c>
      <c r="AI21" s="53" t="s">
        <v>2686</v>
      </c>
      <c r="AJ21" s="53" t="s">
        <v>1591</v>
      </c>
    </row>
    <row r="22" spans="1:36" s="3" customFormat="1" ht="204" x14ac:dyDescent="0.25">
      <c r="A22" s="35" t="s">
        <v>182</v>
      </c>
      <c r="B22" s="18" t="s">
        <v>2535</v>
      </c>
      <c r="C22" s="76"/>
      <c r="D22" s="43" t="s">
        <v>5888</v>
      </c>
      <c r="E22" s="78"/>
      <c r="F22" s="36"/>
      <c r="G22" s="80"/>
      <c r="H22" s="80"/>
      <c r="I22" s="36" t="s">
        <v>5889</v>
      </c>
      <c r="J22" s="34" t="s">
        <v>5890</v>
      </c>
      <c r="K22" s="37" t="s">
        <v>5891</v>
      </c>
      <c r="L22" s="38">
        <v>39594</v>
      </c>
      <c r="M22" s="39">
        <v>41273</v>
      </c>
      <c r="N22" s="42">
        <v>18663257.129999999</v>
      </c>
      <c r="O22" s="85">
        <v>41273</v>
      </c>
      <c r="P22" s="86">
        <v>42563</v>
      </c>
      <c r="Q22" s="41">
        <v>1620915.55</v>
      </c>
      <c r="R22" s="41">
        <v>20284172.68</v>
      </c>
      <c r="S22" s="80"/>
      <c r="T22" s="81"/>
      <c r="U22" s="80"/>
      <c r="V22" s="80"/>
      <c r="W22" s="42"/>
      <c r="X22" s="42">
        <v>14861941.710000001</v>
      </c>
      <c r="Y22" s="34" t="s">
        <v>4321</v>
      </c>
      <c r="Z22" s="19" t="s">
        <v>7038</v>
      </c>
      <c r="AA22" s="28" t="s">
        <v>7108</v>
      </c>
      <c r="AB22" s="56">
        <v>43418</v>
      </c>
      <c r="AC22" s="28" t="s">
        <v>7109</v>
      </c>
      <c r="AD22" s="28" t="s">
        <v>7110</v>
      </c>
      <c r="AE22" s="54" t="s">
        <v>8257</v>
      </c>
      <c r="AF22" s="54"/>
      <c r="AG22" s="54" t="s">
        <v>8256</v>
      </c>
      <c r="AH22" s="53" t="s">
        <v>1591</v>
      </c>
      <c r="AI22" s="53" t="s">
        <v>2686</v>
      </c>
      <c r="AJ22" s="53" t="s">
        <v>1591</v>
      </c>
    </row>
    <row r="23" spans="1:36" s="3" customFormat="1" ht="108" x14ac:dyDescent="0.25">
      <c r="A23" s="17" t="s">
        <v>182</v>
      </c>
      <c r="B23" s="18" t="s">
        <v>2535</v>
      </c>
      <c r="C23" s="76" t="s">
        <v>5892</v>
      </c>
      <c r="D23" s="77" t="s">
        <v>5893</v>
      </c>
      <c r="E23" s="78" t="s">
        <v>5894</v>
      </c>
      <c r="F23" s="79">
        <v>27708826.870000001</v>
      </c>
      <c r="G23" s="80">
        <v>18642800</v>
      </c>
      <c r="H23" s="80">
        <v>9066026.8699999992</v>
      </c>
      <c r="I23" s="78" t="s">
        <v>5895</v>
      </c>
      <c r="J23" s="79" t="s">
        <v>5896</v>
      </c>
      <c r="K23" s="81" t="s">
        <v>631</v>
      </c>
      <c r="L23" s="82">
        <v>41081</v>
      </c>
      <c r="M23" s="83">
        <v>42616</v>
      </c>
      <c r="N23" s="80">
        <v>16715508.199999999</v>
      </c>
      <c r="O23" s="82">
        <v>43132</v>
      </c>
      <c r="P23" s="84" t="s">
        <v>5534</v>
      </c>
      <c r="Q23" s="80">
        <v>2099457.66</v>
      </c>
      <c r="R23" s="80">
        <v>18814965.859999999</v>
      </c>
      <c r="S23" s="80">
        <v>608552.55000000005</v>
      </c>
      <c r="T23" s="81" t="s">
        <v>45</v>
      </c>
      <c r="U23" s="80">
        <v>6957920.3900000015</v>
      </c>
      <c r="V23" s="80"/>
      <c r="W23" s="80"/>
      <c r="X23" s="80">
        <v>6957920.3900000015</v>
      </c>
      <c r="Y23" s="76" t="s">
        <v>5873</v>
      </c>
      <c r="Z23" s="19" t="s">
        <v>7038</v>
      </c>
      <c r="AA23" s="28" t="s">
        <v>7108</v>
      </c>
      <c r="AB23" s="56">
        <v>43418</v>
      </c>
      <c r="AC23" s="28" t="s">
        <v>7109</v>
      </c>
      <c r="AD23" s="28" t="s">
        <v>7110</v>
      </c>
      <c r="AE23" s="54" t="s">
        <v>8259</v>
      </c>
      <c r="AF23" s="54"/>
      <c r="AG23" s="54" t="s">
        <v>8258</v>
      </c>
      <c r="AH23" s="53" t="s">
        <v>1591</v>
      </c>
      <c r="AI23" s="53" t="s">
        <v>2686</v>
      </c>
      <c r="AJ23" s="53" t="s">
        <v>1591</v>
      </c>
    </row>
    <row r="24" spans="1:36" s="3" customFormat="1" ht="48" x14ac:dyDescent="0.25">
      <c r="A24" s="17" t="s">
        <v>182</v>
      </c>
      <c r="B24" s="18" t="s">
        <v>2535</v>
      </c>
      <c r="C24" s="19" t="s">
        <v>2579</v>
      </c>
      <c r="D24" s="45" t="s">
        <v>2580</v>
      </c>
      <c r="E24" s="50" t="s">
        <v>2581</v>
      </c>
      <c r="F24" s="58">
        <v>49005017.109999999</v>
      </c>
      <c r="G24" s="51">
        <v>34832028.840000004</v>
      </c>
      <c r="H24" s="51">
        <v>14172988.27</v>
      </c>
      <c r="I24" s="50" t="s">
        <v>253</v>
      </c>
      <c r="J24" s="58" t="s">
        <v>254</v>
      </c>
      <c r="K24" s="52" t="s">
        <v>218</v>
      </c>
      <c r="L24" s="59">
        <v>42061</v>
      </c>
      <c r="M24" s="60">
        <v>42738</v>
      </c>
      <c r="N24" s="51">
        <v>16350446.220000001</v>
      </c>
      <c r="O24" s="59">
        <v>42675</v>
      </c>
      <c r="P24" s="59"/>
      <c r="Q24" s="51">
        <f>18628238.45-N24</f>
        <v>2277792.2299999986</v>
      </c>
      <c r="R24" s="51">
        <f>N24+Q24</f>
        <v>18628238.449999999</v>
      </c>
      <c r="S24" s="51">
        <v>53592.63</v>
      </c>
      <c r="T24" s="52" t="s">
        <v>45</v>
      </c>
      <c r="U24" s="51">
        <v>0</v>
      </c>
      <c r="V24" s="51">
        <v>54390.96</v>
      </c>
      <c r="W24" s="51">
        <v>54390.96</v>
      </c>
      <c r="X24" s="51">
        <v>1499431.51</v>
      </c>
      <c r="Y24" s="19" t="s">
        <v>2689</v>
      </c>
      <c r="Z24" s="19"/>
      <c r="AA24" s="28" t="s">
        <v>7108</v>
      </c>
      <c r="AB24" s="56">
        <v>43418</v>
      </c>
      <c r="AC24" s="28" t="s">
        <v>7109</v>
      </c>
      <c r="AD24" s="28" t="s">
        <v>7110</v>
      </c>
      <c r="AE24" s="54" t="s">
        <v>8264</v>
      </c>
      <c r="AF24" s="54"/>
      <c r="AG24" s="54" t="s">
        <v>8263</v>
      </c>
      <c r="AH24" s="53" t="s">
        <v>1591</v>
      </c>
      <c r="AI24" s="53" t="s">
        <v>2686</v>
      </c>
      <c r="AJ24" s="53" t="s">
        <v>1591</v>
      </c>
    </row>
    <row r="25" spans="1:36" s="3" customFormat="1" ht="48" x14ac:dyDescent="0.25">
      <c r="A25" s="17" t="s">
        <v>182</v>
      </c>
      <c r="B25" s="18" t="s">
        <v>2535</v>
      </c>
      <c r="C25" s="19" t="s">
        <v>2544</v>
      </c>
      <c r="D25" s="45" t="s">
        <v>2545</v>
      </c>
      <c r="E25" s="50" t="s">
        <v>39</v>
      </c>
      <c r="F25" s="58" t="s">
        <v>39</v>
      </c>
      <c r="G25" s="51"/>
      <c r="H25" s="51"/>
      <c r="I25" s="50" t="s">
        <v>236</v>
      </c>
      <c r="J25" s="58" t="s">
        <v>319</v>
      </c>
      <c r="K25" s="52" t="s">
        <v>2546</v>
      </c>
      <c r="L25" s="59">
        <v>41715</v>
      </c>
      <c r="M25" s="60">
        <v>42461</v>
      </c>
      <c r="N25" s="51">
        <v>13898738.5</v>
      </c>
      <c r="O25" s="59">
        <v>42795</v>
      </c>
      <c r="P25" s="59">
        <f>M25+12*30</f>
        <v>42821</v>
      </c>
      <c r="Q25" s="51">
        <f>16541882.82-N25</f>
        <v>2643144.3200000003</v>
      </c>
      <c r="R25" s="51">
        <f>N25+Q25</f>
        <v>16541882.82</v>
      </c>
      <c r="S25" s="51">
        <v>229230.52</v>
      </c>
      <c r="T25" s="52" t="s">
        <v>45</v>
      </c>
      <c r="U25" s="51">
        <v>0</v>
      </c>
      <c r="V25" s="51">
        <v>0</v>
      </c>
      <c r="W25" s="51">
        <v>0</v>
      </c>
      <c r="X25" s="51">
        <v>5389192.3600000003</v>
      </c>
      <c r="Y25" s="19" t="s">
        <v>4277</v>
      </c>
      <c r="Z25" s="19"/>
      <c r="AA25" s="28" t="s">
        <v>7108</v>
      </c>
      <c r="AB25" s="56">
        <v>43418</v>
      </c>
      <c r="AC25" s="28" t="s">
        <v>7109</v>
      </c>
      <c r="AD25" s="28" t="s">
        <v>7110</v>
      </c>
      <c r="AE25" s="54" t="s">
        <v>8265</v>
      </c>
      <c r="AF25" s="54"/>
      <c r="AG25" s="54" t="s">
        <v>8262</v>
      </c>
      <c r="AH25" s="53" t="s">
        <v>1591</v>
      </c>
      <c r="AI25" s="53" t="s">
        <v>2686</v>
      </c>
      <c r="AJ25" s="53" t="s">
        <v>1591</v>
      </c>
    </row>
    <row r="26" spans="1:36" s="3" customFormat="1" ht="60" x14ac:dyDescent="0.25">
      <c r="A26" s="17" t="s">
        <v>182</v>
      </c>
      <c r="B26" s="18" t="s">
        <v>2535</v>
      </c>
      <c r="C26" s="19" t="s">
        <v>2547</v>
      </c>
      <c r="D26" s="45" t="s">
        <v>2548</v>
      </c>
      <c r="E26" s="50" t="s">
        <v>2549</v>
      </c>
      <c r="F26" s="58">
        <v>29837678.609999999</v>
      </c>
      <c r="G26" s="51">
        <v>20025491.949999999</v>
      </c>
      <c r="H26" s="51">
        <v>9812186.6600000001</v>
      </c>
      <c r="I26" s="50" t="s">
        <v>2550</v>
      </c>
      <c r="J26" s="58" t="s">
        <v>2551</v>
      </c>
      <c r="K26" s="52" t="s">
        <v>581</v>
      </c>
      <c r="L26" s="59">
        <v>41667</v>
      </c>
      <c r="M26" s="60">
        <v>42593</v>
      </c>
      <c r="N26" s="51">
        <v>13966640.619999999</v>
      </c>
      <c r="O26" s="59">
        <v>42736</v>
      </c>
      <c r="P26" s="59">
        <f>M26+15*30</f>
        <v>43043</v>
      </c>
      <c r="Q26" s="51">
        <f>13573714.61-N26</f>
        <v>-392926.00999999978</v>
      </c>
      <c r="R26" s="51">
        <f>N26+Q26</f>
        <v>13573714.609999999</v>
      </c>
      <c r="S26" s="51">
        <v>0</v>
      </c>
      <c r="T26" s="52" t="s">
        <v>45</v>
      </c>
      <c r="U26" s="51">
        <v>0</v>
      </c>
      <c r="V26" s="51">
        <v>0</v>
      </c>
      <c r="W26" s="51">
        <v>0</v>
      </c>
      <c r="X26" s="51">
        <v>667499.67000000004</v>
      </c>
      <c r="Y26" s="19" t="s">
        <v>4278</v>
      </c>
      <c r="Z26" s="19"/>
      <c r="AA26" s="28" t="s">
        <v>7108</v>
      </c>
      <c r="AB26" s="56">
        <v>43418</v>
      </c>
      <c r="AC26" s="28" t="s">
        <v>7109</v>
      </c>
      <c r="AD26" s="28" t="s">
        <v>7110</v>
      </c>
      <c r="AE26" s="54" t="s">
        <v>8261</v>
      </c>
      <c r="AF26" s="54"/>
      <c r="AG26" s="54" t="s">
        <v>8260</v>
      </c>
      <c r="AH26" s="53" t="s">
        <v>1591</v>
      </c>
      <c r="AI26" s="53" t="s">
        <v>2686</v>
      </c>
      <c r="AJ26" s="53" t="s">
        <v>1591</v>
      </c>
    </row>
    <row r="27" spans="1:36" s="3" customFormat="1" ht="72" x14ac:dyDescent="0.25">
      <c r="A27" s="17" t="s">
        <v>182</v>
      </c>
      <c r="B27" s="18" t="s">
        <v>2535</v>
      </c>
      <c r="C27" s="76" t="s">
        <v>5898</v>
      </c>
      <c r="D27" s="45" t="s">
        <v>5899</v>
      </c>
      <c r="E27" s="78" t="s">
        <v>5900</v>
      </c>
      <c r="F27" s="79">
        <v>11388083.48</v>
      </c>
      <c r="G27" s="80">
        <v>8405100</v>
      </c>
      <c r="H27" s="80">
        <v>2982983.48</v>
      </c>
      <c r="I27" s="78" t="s">
        <v>5901</v>
      </c>
      <c r="J27" s="79" t="s">
        <v>5902</v>
      </c>
      <c r="K27" s="81" t="s">
        <v>5903</v>
      </c>
      <c r="L27" s="82">
        <v>40857</v>
      </c>
      <c r="M27" s="83">
        <v>42539</v>
      </c>
      <c r="N27" s="80">
        <v>10339234.15</v>
      </c>
      <c r="O27" s="82">
        <v>43160</v>
      </c>
      <c r="P27" s="84" t="s">
        <v>5904</v>
      </c>
      <c r="Q27" s="80">
        <v>476998.56000000052</v>
      </c>
      <c r="R27" s="80">
        <v>10816232.710000001</v>
      </c>
      <c r="S27" s="80">
        <v>1035040.66</v>
      </c>
      <c r="T27" s="81" t="s">
        <v>45</v>
      </c>
      <c r="U27" s="80">
        <v>4501444.87</v>
      </c>
      <c r="V27" s="80"/>
      <c r="W27" s="80"/>
      <c r="X27" s="80">
        <v>4425357.29</v>
      </c>
      <c r="Y27" s="76" t="s">
        <v>5873</v>
      </c>
      <c r="Z27" s="19" t="s">
        <v>7038</v>
      </c>
      <c r="AA27" s="28" t="s">
        <v>7108</v>
      </c>
      <c r="AB27" s="56">
        <v>43418</v>
      </c>
      <c r="AC27" s="28" t="s">
        <v>7109</v>
      </c>
      <c r="AD27" s="28" t="s">
        <v>7110</v>
      </c>
      <c r="AE27" s="54"/>
      <c r="AF27" s="54"/>
      <c r="AG27" s="54"/>
      <c r="AH27" s="53"/>
      <c r="AI27" s="53" t="s">
        <v>1591</v>
      </c>
      <c r="AJ27" s="53" t="s">
        <v>1591</v>
      </c>
    </row>
    <row r="28" spans="1:36" s="3" customFormat="1" ht="72" x14ac:dyDescent="0.25">
      <c r="A28" s="17" t="s">
        <v>182</v>
      </c>
      <c r="B28" s="18" t="s">
        <v>2535</v>
      </c>
      <c r="C28" s="19" t="s">
        <v>4002</v>
      </c>
      <c r="D28" s="45" t="s">
        <v>4003</v>
      </c>
      <c r="E28" s="50" t="s">
        <v>4153</v>
      </c>
      <c r="F28" s="58">
        <v>11982983.48</v>
      </c>
      <c r="G28" s="51">
        <v>8405100</v>
      </c>
      <c r="H28" s="51">
        <v>2982983.48</v>
      </c>
      <c r="I28" s="50" t="s">
        <v>4114</v>
      </c>
      <c r="J28" s="58" t="s">
        <v>4154</v>
      </c>
      <c r="K28" s="52" t="s">
        <v>3135</v>
      </c>
      <c r="L28" s="59">
        <v>42902</v>
      </c>
      <c r="M28" s="60">
        <f>L28+360</f>
        <v>43262</v>
      </c>
      <c r="N28" s="51">
        <v>10300490.470000001</v>
      </c>
      <c r="O28" s="59">
        <v>42917</v>
      </c>
      <c r="P28" s="59"/>
      <c r="Q28" s="51"/>
      <c r="R28" s="51">
        <f>N28+Q28</f>
        <v>10300490.470000001</v>
      </c>
      <c r="S28" s="51">
        <v>0</v>
      </c>
      <c r="T28" s="52" t="s">
        <v>45</v>
      </c>
      <c r="U28" s="51">
        <v>0</v>
      </c>
      <c r="V28" s="51">
        <v>0</v>
      </c>
      <c r="W28" s="51">
        <v>0</v>
      </c>
      <c r="X28" s="51">
        <v>3718426.19</v>
      </c>
      <c r="Y28" s="19" t="s">
        <v>575</v>
      </c>
      <c r="Z28" s="19"/>
      <c r="AA28" s="28" t="s">
        <v>7108</v>
      </c>
      <c r="AB28" s="56">
        <v>43418</v>
      </c>
      <c r="AC28" s="28" t="s">
        <v>7109</v>
      </c>
      <c r="AD28" s="28" t="s">
        <v>7110</v>
      </c>
      <c r="AE28" s="54"/>
      <c r="AF28" s="54"/>
      <c r="AG28" s="54" t="s">
        <v>8266</v>
      </c>
      <c r="AH28" s="53" t="s">
        <v>1591</v>
      </c>
      <c r="AI28" s="53" t="s">
        <v>2686</v>
      </c>
      <c r="AJ28" s="53" t="s">
        <v>1591</v>
      </c>
    </row>
    <row r="29" spans="1:36" s="3" customFormat="1" ht="72" x14ac:dyDescent="0.25">
      <c r="A29" s="17" t="s">
        <v>182</v>
      </c>
      <c r="B29" s="18" t="s">
        <v>2535</v>
      </c>
      <c r="C29" s="76" t="s">
        <v>5905</v>
      </c>
      <c r="D29" s="45" t="s">
        <v>5906</v>
      </c>
      <c r="E29" s="78" t="s">
        <v>5907</v>
      </c>
      <c r="F29" s="79">
        <v>17957485.390000001</v>
      </c>
      <c r="G29" s="80">
        <v>9073349.9000000004</v>
      </c>
      <c r="H29" s="80">
        <v>8884135.4900000002</v>
      </c>
      <c r="I29" s="78" t="s">
        <v>5901</v>
      </c>
      <c r="J29" s="79" t="s">
        <v>5908</v>
      </c>
      <c r="K29" s="81" t="s">
        <v>473</v>
      </c>
      <c r="L29" s="82">
        <v>40935</v>
      </c>
      <c r="M29" s="83">
        <v>41229</v>
      </c>
      <c r="N29" s="80">
        <v>6905136.79</v>
      </c>
      <c r="O29" s="82">
        <v>43160</v>
      </c>
      <c r="P29" s="84" t="s">
        <v>4812</v>
      </c>
      <c r="Q29" s="80">
        <v>2505110.8600000003</v>
      </c>
      <c r="R29" s="80">
        <v>9410247.6500000004</v>
      </c>
      <c r="S29" s="80">
        <v>245967.47</v>
      </c>
      <c r="T29" s="81" t="s">
        <v>45</v>
      </c>
      <c r="U29" s="80">
        <v>5748693.8399999999</v>
      </c>
      <c r="V29" s="80"/>
      <c r="W29" s="80"/>
      <c r="X29" s="80">
        <v>5741415.7199999997</v>
      </c>
      <c r="Y29" s="76" t="s">
        <v>5873</v>
      </c>
      <c r="Z29" s="19" t="s">
        <v>7038</v>
      </c>
      <c r="AA29" s="28" t="s">
        <v>7108</v>
      </c>
      <c r="AB29" s="56">
        <v>43418</v>
      </c>
      <c r="AC29" s="28" t="s">
        <v>7109</v>
      </c>
      <c r="AD29" s="28" t="s">
        <v>7110</v>
      </c>
      <c r="AE29" s="54" t="s">
        <v>8267</v>
      </c>
      <c r="AF29" s="54"/>
      <c r="AG29" s="54" t="s">
        <v>7099</v>
      </c>
      <c r="AH29" s="53" t="s">
        <v>1591</v>
      </c>
      <c r="AI29" s="53" t="s">
        <v>2686</v>
      </c>
      <c r="AJ29" s="53" t="s">
        <v>1591</v>
      </c>
    </row>
    <row r="30" spans="1:36" s="3" customFormat="1" ht="84" x14ac:dyDescent="0.25">
      <c r="A30" s="17" t="s">
        <v>182</v>
      </c>
      <c r="B30" s="18" t="s">
        <v>2535</v>
      </c>
      <c r="C30" s="76" t="s">
        <v>5909</v>
      </c>
      <c r="D30" s="45" t="s">
        <v>5910</v>
      </c>
      <c r="E30" s="78" t="s">
        <v>5911</v>
      </c>
      <c r="F30" s="79">
        <v>10137333.109999999</v>
      </c>
      <c r="G30" s="80">
        <v>8914933.2400000002</v>
      </c>
      <c r="H30" s="80">
        <v>1222399.8700000001</v>
      </c>
      <c r="I30" s="78" t="s">
        <v>5912</v>
      </c>
      <c r="J30" s="79" t="s">
        <v>5913</v>
      </c>
      <c r="K30" s="81" t="s">
        <v>5914</v>
      </c>
      <c r="L30" s="82">
        <v>40345</v>
      </c>
      <c r="M30" s="83">
        <v>42352</v>
      </c>
      <c r="N30" s="80">
        <v>9383538.8200000003</v>
      </c>
      <c r="O30" s="82">
        <v>43070</v>
      </c>
      <c r="P30" s="84" t="s">
        <v>5915</v>
      </c>
      <c r="Q30" s="80">
        <v>0</v>
      </c>
      <c r="R30" s="80">
        <v>9383538.8200000003</v>
      </c>
      <c r="S30" s="80">
        <v>174454.65</v>
      </c>
      <c r="T30" s="81" t="s">
        <v>45</v>
      </c>
      <c r="U30" s="80">
        <v>913367.88</v>
      </c>
      <c r="V30" s="80"/>
      <c r="W30" s="80"/>
      <c r="X30" s="80">
        <v>825256.76</v>
      </c>
      <c r="Y30" s="76" t="s">
        <v>5916</v>
      </c>
      <c r="Z30" s="19" t="s">
        <v>7038</v>
      </c>
      <c r="AA30" s="28" t="s">
        <v>7108</v>
      </c>
      <c r="AB30" s="56">
        <v>43418</v>
      </c>
      <c r="AC30" s="28" t="s">
        <v>7109</v>
      </c>
      <c r="AD30" s="28" t="s">
        <v>7110</v>
      </c>
      <c r="AE30" s="54" t="s">
        <v>8269</v>
      </c>
      <c r="AF30" s="54"/>
      <c r="AG30" s="54" t="s">
        <v>8268</v>
      </c>
      <c r="AH30" s="53" t="s">
        <v>1591</v>
      </c>
      <c r="AI30" s="53" t="s">
        <v>2686</v>
      </c>
      <c r="AJ30" s="53" t="s">
        <v>1591</v>
      </c>
    </row>
    <row r="31" spans="1:36" s="3" customFormat="1" ht="48" x14ac:dyDescent="0.25">
      <c r="A31" s="17" t="s">
        <v>182</v>
      </c>
      <c r="B31" s="18" t="s">
        <v>2535</v>
      </c>
      <c r="C31" s="19" t="s">
        <v>2552</v>
      </c>
      <c r="D31" s="45" t="s">
        <v>2553</v>
      </c>
      <c r="E31" s="50" t="s">
        <v>2554</v>
      </c>
      <c r="F31" s="58">
        <v>9697953.0600000005</v>
      </c>
      <c r="G31" s="51">
        <v>4656695.55</v>
      </c>
      <c r="H31" s="51">
        <v>5041257.51</v>
      </c>
      <c r="I31" s="50" t="s">
        <v>262</v>
      </c>
      <c r="J31" s="58" t="s">
        <v>2555</v>
      </c>
      <c r="K31" s="52" t="s">
        <v>2556</v>
      </c>
      <c r="L31" s="59">
        <v>41081</v>
      </c>
      <c r="M31" s="60">
        <v>42736</v>
      </c>
      <c r="N31" s="51">
        <v>6958103.5700000003</v>
      </c>
      <c r="O31" s="59">
        <v>43221</v>
      </c>
      <c r="P31" s="59">
        <f>M31+42*30</f>
        <v>43996</v>
      </c>
      <c r="Q31" s="51">
        <f>6917575.95-N31</f>
        <v>-40527.620000000112</v>
      </c>
      <c r="R31" s="51">
        <f>N31+Q31</f>
        <v>6917575.9500000002</v>
      </c>
      <c r="S31" s="51">
        <v>498897.66</v>
      </c>
      <c r="T31" s="52" t="s">
        <v>45</v>
      </c>
      <c r="U31" s="51">
        <v>290559.71999999997</v>
      </c>
      <c r="V31" s="51">
        <v>290560.28999999998</v>
      </c>
      <c r="W31" s="51">
        <v>290560.28999999998</v>
      </c>
      <c r="X31" s="51">
        <v>5118633.45</v>
      </c>
      <c r="Y31" s="19" t="s">
        <v>42</v>
      </c>
      <c r="Z31" s="19"/>
      <c r="AA31" s="28" t="s">
        <v>7108</v>
      </c>
      <c r="AB31" s="56">
        <v>43418</v>
      </c>
      <c r="AC31" s="28" t="s">
        <v>7109</v>
      </c>
      <c r="AD31" s="28" t="s">
        <v>7110</v>
      </c>
      <c r="AE31" s="54" t="s">
        <v>8270</v>
      </c>
      <c r="AF31" s="54"/>
      <c r="AG31" s="54" t="s">
        <v>1622</v>
      </c>
      <c r="AH31" s="53" t="s">
        <v>1591</v>
      </c>
      <c r="AI31" s="53" t="s">
        <v>2686</v>
      </c>
      <c r="AJ31" s="53" t="s">
        <v>1591</v>
      </c>
    </row>
    <row r="32" spans="1:36" s="3" customFormat="1" ht="48" x14ac:dyDescent="0.25">
      <c r="A32" s="17" t="s">
        <v>182</v>
      </c>
      <c r="B32" s="18" t="s">
        <v>2535</v>
      </c>
      <c r="C32" s="76" t="s">
        <v>5917</v>
      </c>
      <c r="D32" s="45" t="s">
        <v>5918</v>
      </c>
      <c r="E32" s="78" t="s">
        <v>5919</v>
      </c>
      <c r="F32" s="79">
        <v>27708826.870000001</v>
      </c>
      <c r="G32" s="80">
        <v>18642800</v>
      </c>
      <c r="H32" s="80">
        <v>9066026.8699999992</v>
      </c>
      <c r="I32" s="78" t="s">
        <v>236</v>
      </c>
      <c r="J32" s="79" t="s">
        <v>319</v>
      </c>
      <c r="K32" s="81" t="s">
        <v>1063</v>
      </c>
      <c r="L32" s="82">
        <v>41939</v>
      </c>
      <c r="M32" s="83">
        <v>42514</v>
      </c>
      <c r="N32" s="80">
        <v>6583646.2400000002</v>
      </c>
      <c r="O32" s="82">
        <v>43221</v>
      </c>
      <c r="P32" s="84"/>
      <c r="Q32" s="80">
        <v>0</v>
      </c>
      <c r="R32" s="80">
        <v>6583646.2400000002</v>
      </c>
      <c r="S32" s="80">
        <v>0</v>
      </c>
      <c r="T32" s="81" t="s">
        <v>45</v>
      </c>
      <c r="U32" s="80">
        <v>41315.129999999997</v>
      </c>
      <c r="V32" s="80"/>
      <c r="W32" s="80"/>
      <c r="X32" s="80">
        <v>41315.129999999997</v>
      </c>
      <c r="Y32" s="76" t="s">
        <v>5897</v>
      </c>
      <c r="Z32" s="19" t="s">
        <v>7038</v>
      </c>
      <c r="AA32" s="28" t="s">
        <v>7108</v>
      </c>
      <c r="AB32" s="56">
        <v>43418</v>
      </c>
      <c r="AC32" s="28" t="s">
        <v>7109</v>
      </c>
      <c r="AD32" s="28" t="s">
        <v>7110</v>
      </c>
      <c r="AE32" s="54"/>
      <c r="AF32" s="54"/>
      <c r="AG32" s="54" t="s">
        <v>8271</v>
      </c>
      <c r="AH32" s="53" t="s">
        <v>1591</v>
      </c>
      <c r="AI32" s="53" t="s">
        <v>2686</v>
      </c>
      <c r="AJ32" s="53" t="s">
        <v>1591</v>
      </c>
    </row>
    <row r="33" spans="1:36" s="3" customFormat="1" ht="96" x14ac:dyDescent="0.25">
      <c r="A33" s="17" t="s">
        <v>182</v>
      </c>
      <c r="B33" s="18" t="s">
        <v>2535</v>
      </c>
      <c r="C33" s="19" t="s">
        <v>2562</v>
      </c>
      <c r="D33" s="45" t="s">
        <v>2563</v>
      </c>
      <c r="E33" s="50" t="s">
        <v>2564</v>
      </c>
      <c r="F33" s="58">
        <v>6696388.8499999996</v>
      </c>
      <c r="G33" s="51">
        <v>5267018.8899999997</v>
      </c>
      <c r="H33" s="51">
        <v>1429369.96</v>
      </c>
      <c r="I33" s="50" t="s">
        <v>1111</v>
      </c>
      <c r="J33" s="58" t="s">
        <v>1112</v>
      </c>
      <c r="K33" s="52" t="s">
        <v>592</v>
      </c>
      <c r="L33" s="59" t="s">
        <v>2917</v>
      </c>
      <c r="M33" s="60">
        <v>42490</v>
      </c>
      <c r="N33" s="51">
        <v>5396262.71</v>
      </c>
      <c r="O33" s="59">
        <v>42826</v>
      </c>
      <c r="P33" s="59">
        <f>M33+58*30</f>
        <v>44230</v>
      </c>
      <c r="Q33" s="51">
        <f>6180096.44-N33</f>
        <v>783833.73000000045</v>
      </c>
      <c r="R33" s="51">
        <f>N33+Q33</f>
        <v>6180096.4400000004</v>
      </c>
      <c r="S33" s="51">
        <v>600393.04</v>
      </c>
      <c r="T33" s="52" t="s">
        <v>45</v>
      </c>
      <c r="U33" s="51">
        <v>0</v>
      </c>
      <c r="V33" s="51">
        <v>0</v>
      </c>
      <c r="W33" s="51">
        <v>0</v>
      </c>
      <c r="X33" s="51">
        <v>4501326.9000000004</v>
      </c>
      <c r="Y33" s="19" t="s">
        <v>4279</v>
      </c>
      <c r="Z33" s="19"/>
      <c r="AA33" s="28" t="s">
        <v>7108</v>
      </c>
      <c r="AB33" s="56">
        <v>43418</v>
      </c>
      <c r="AC33" s="28" t="s">
        <v>7109</v>
      </c>
      <c r="AD33" s="28" t="s">
        <v>7110</v>
      </c>
      <c r="AE33" s="54"/>
      <c r="AF33" s="54"/>
      <c r="AG33" s="54"/>
      <c r="AH33" s="53"/>
      <c r="AI33" s="53" t="s">
        <v>1591</v>
      </c>
      <c r="AJ33" s="53" t="s">
        <v>1591</v>
      </c>
    </row>
    <row r="34" spans="1:36" s="3" customFormat="1" ht="60" x14ac:dyDescent="0.25">
      <c r="A34" s="17" t="s">
        <v>182</v>
      </c>
      <c r="B34" s="18" t="s">
        <v>2535</v>
      </c>
      <c r="C34" s="19" t="s">
        <v>2584</v>
      </c>
      <c r="D34" s="45" t="s">
        <v>2585</v>
      </c>
      <c r="E34" s="50" t="s">
        <v>39</v>
      </c>
      <c r="F34" s="58" t="s">
        <v>39</v>
      </c>
      <c r="G34" s="51"/>
      <c r="H34" s="51"/>
      <c r="I34" s="50" t="s">
        <v>2586</v>
      </c>
      <c r="J34" s="58" t="s">
        <v>2587</v>
      </c>
      <c r="K34" s="52" t="s">
        <v>1065</v>
      </c>
      <c r="L34" s="59">
        <v>42374</v>
      </c>
      <c r="M34" s="60">
        <v>42415</v>
      </c>
      <c r="N34" s="51">
        <v>4764738.47</v>
      </c>
      <c r="O34" s="59">
        <v>43221</v>
      </c>
      <c r="P34" s="59">
        <f>M34+6*30</f>
        <v>42595</v>
      </c>
      <c r="Q34" s="51"/>
      <c r="R34" s="51">
        <f>N34+Q34</f>
        <v>4764738.47</v>
      </c>
      <c r="S34" s="51">
        <v>9402.8040000000001</v>
      </c>
      <c r="T34" s="52" t="s">
        <v>45</v>
      </c>
      <c r="U34" s="51">
        <v>56506.76</v>
      </c>
      <c r="V34" s="51">
        <v>0</v>
      </c>
      <c r="W34" s="51">
        <v>0</v>
      </c>
      <c r="X34" s="51">
        <v>1193584.92</v>
      </c>
      <c r="Y34" s="19" t="s">
        <v>42</v>
      </c>
      <c r="Z34" s="19"/>
      <c r="AA34" s="28" t="s">
        <v>7108</v>
      </c>
      <c r="AB34" s="56">
        <v>43418</v>
      </c>
      <c r="AC34" s="28" t="s">
        <v>7109</v>
      </c>
      <c r="AD34" s="28" t="s">
        <v>7110</v>
      </c>
      <c r="AE34" s="54" t="s">
        <v>8292</v>
      </c>
      <c r="AF34" s="54"/>
      <c r="AG34" s="54" t="s">
        <v>8291</v>
      </c>
      <c r="AH34" s="53" t="s">
        <v>1591</v>
      </c>
      <c r="AI34" s="53" t="s">
        <v>2686</v>
      </c>
      <c r="AJ34" s="53" t="s">
        <v>1591</v>
      </c>
    </row>
    <row r="35" spans="1:36" s="3" customFormat="1" ht="72" x14ac:dyDescent="0.25">
      <c r="A35" s="17" t="s">
        <v>182</v>
      </c>
      <c r="B35" s="18" t="s">
        <v>2535</v>
      </c>
      <c r="C35" s="19" t="s">
        <v>2558</v>
      </c>
      <c r="D35" s="45" t="s">
        <v>2559</v>
      </c>
      <c r="E35" s="50" t="s">
        <v>2560</v>
      </c>
      <c r="F35" s="58">
        <v>4461106.62</v>
      </c>
      <c r="G35" s="51">
        <v>3524068.96</v>
      </c>
      <c r="H35" s="51">
        <v>937037.66</v>
      </c>
      <c r="I35" s="50" t="s">
        <v>295</v>
      </c>
      <c r="J35" s="58" t="s">
        <v>296</v>
      </c>
      <c r="K35" s="52" t="s">
        <v>2561</v>
      </c>
      <c r="L35" s="59" t="s">
        <v>2766</v>
      </c>
      <c r="M35" s="60">
        <v>42221</v>
      </c>
      <c r="N35" s="51">
        <v>2978409.79</v>
      </c>
      <c r="O35" s="59">
        <v>42826</v>
      </c>
      <c r="P35" s="59">
        <f>M35+52*30</f>
        <v>43781</v>
      </c>
      <c r="Q35" s="51">
        <f>3957617.58-N35</f>
        <v>979207.79</v>
      </c>
      <c r="R35" s="51">
        <f>N35+Q35</f>
        <v>3957617.58</v>
      </c>
      <c r="S35" s="51">
        <v>648395.23</v>
      </c>
      <c r="T35" s="52" t="s">
        <v>45</v>
      </c>
      <c r="U35" s="51">
        <v>0</v>
      </c>
      <c r="V35" s="51">
        <v>0</v>
      </c>
      <c r="W35" s="51">
        <v>0</v>
      </c>
      <c r="X35" s="51">
        <v>2748151.48</v>
      </c>
      <c r="Y35" s="19" t="s">
        <v>4280</v>
      </c>
      <c r="Z35" s="19"/>
      <c r="AA35" s="28" t="s">
        <v>7108</v>
      </c>
      <c r="AB35" s="56">
        <v>43418</v>
      </c>
      <c r="AC35" s="28" t="s">
        <v>7109</v>
      </c>
      <c r="AD35" s="28" t="s">
        <v>7110</v>
      </c>
      <c r="AE35" s="54"/>
      <c r="AF35" s="54"/>
      <c r="AG35" s="54"/>
      <c r="AH35" s="53"/>
      <c r="AI35" s="53" t="s">
        <v>1591</v>
      </c>
      <c r="AJ35" s="53" t="s">
        <v>1591</v>
      </c>
    </row>
    <row r="36" spans="1:36" s="3" customFormat="1" ht="48" x14ac:dyDescent="0.25">
      <c r="A36" s="17" t="s">
        <v>182</v>
      </c>
      <c r="B36" s="18" t="s">
        <v>2535</v>
      </c>
      <c r="C36" s="76" t="s">
        <v>5920</v>
      </c>
      <c r="D36" s="45" t="s">
        <v>5921</v>
      </c>
      <c r="E36" s="78" t="s">
        <v>39</v>
      </c>
      <c r="F36" s="79" t="s">
        <v>39</v>
      </c>
      <c r="G36" s="80" t="s">
        <v>39</v>
      </c>
      <c r="H36" s="80" t="s">
        <v>39</v>
      </c>
      <c r="I36" s="78" t="s">
        <v>236</v>
      </c>
      <c r="J36" s="79" t="s">
        <v>319</v>
      </c>
      <c r="K36" s="81" t="s">
        <v>1397</v>
      </c>
      <c r="L36" s="82">
        <v>41844</v>
      </c>
      <c r="M36" s="83">
        <v>42241</v>
      </c>
      <c r="N36" s="80">
        <v>3072543.46</v>
      </c>
      <c r="O36" s="82" t="s">
        <v>46</v>
      </c>
      <c r="P36" s="84"/>
      <c r="Q36" s="80">
        <v>0</v>
      </c>
      <c r="R36" s="80">
        <v>3072543.46</v>
      </c>
      <c r="S36" s="80">
        <v>0</v>
      </c>
      <c r="T36" s="81" t="s">
        <v>45</v>
      </c>
      <c r="U36" s="80">
        <v>23034.87</v>
      </c>
      <c r="V36" s="80"/>
      <c r="W36" s="80"/>
      <c r="X36" s="80">
        <v>23034.87</v>
      </c>
      <c r="Y36" s="76" t="s">
        <v>5922</v>
      </c>
      <c r="Z36" s="19" t="s">
        <v>7038</v>
      </c>
      <c r="AA36" s="28" t="s">
        <v>7108</v>
      </c>
      <c r="AB36" s="56">
        <v>43418</v>
      </c>
      <c r="AC36" s="28" t="s">
        <v>7109</v>
      </c>
      <c r="AD36" s="28" t="s">
        <v>7110</v>
      </c>
      <c r="AE36" s="54"/>
      <c r="AF36" s="54"/>
      <c r="AG36" s="54" t="s">
        <v>8272</v>
      </c>
      <c r="AH36" s="53" t="s">
        <v>1591</v>
      </c>
      <c r="AI36" s="53" t="s">
        <v>2686</v>
      </c>
      <c r="AJ36" s="53" t="s">
        <v>1591</v>
      </c>
    </row>
    <row r="37" spans="1:36" s="3" customFormat="1" ht="36" x14ac:dyDescent="0.25">
      <c r="A37" s="17" t="s">
        <v>182</v>
      </c>
      <c r="B37" s="18" t="s">
        <v>2535</v>
      </c>
      <c r="C37" s="19" t="s">
        <v>2540</v>
      </c>
      <c r="D37" s="45" t="s">
        <v>2541</v>
      </c>
      <c r="E37" s="50" t="s">
        <v>2542</v>
      </c>
      <c r="F37" s="58">
        <v>2368082</v>
      </c>
      <c r="G37" s="51">
        <v>1976600</v>
      </c>
      <c r="H37" s="51">
        <v>391482</v>
      </c>
      <c r="I37" s="50" t="s">
        <v>236</v>
      </c>
      <c r="J37" s="58" t="s">
        <v>319</v>
      </c>
      <c r="K37" s="52" t="s">
        <v>2543</v>
      </c>
      <c r="L37" s="59" t="s">
        <v>2918</v>
      </c>
      <c r="M37" s="60">
        <v>42461</v>
      </c>
      <c r="N37" s="51">
        <v>2098600.1800000002</v>
      </c>
      <c r="O37" s="59">
        <v>41760</v>
      </c>
      <c r="P37" s="59">
        <f>M37+48*30</f>
        <v>43901</v>
      </c>
      <c r="Q37" s="51">
        <f>2576141.71-N37</f>
        <v>477541.5299999998</v>
      </c>
      <c r="R37" s="51">
        <f>N37+Q37</f>
        <v>2576141.71</v>
      </c>
      <c r="S37" s="51">
        <v>193683.93</v>
      </c>
      <c r="T37" s="52" t="s">
        <v>45</v>
      </c>
      <c r="U37" s="51">
        <v>0</v>
      </c>
      <c r="V37" s="51">
        <v>0</v>
      </c>
      <c r="W37" s="51">
        <v>0</v>
      </c>
      <c r="X37" s="51">
        <v>522247.4</v>
      </c>
      <c r="Y37" s="19" t="s">
        <v>575</v>
      </c>
      <c r="Z37" s="19"/>
      <c r="AA37" s="28" t="s">
        <v>7108</v>
      </c>
      <c r="AB37" s="56">
        <v>43418</v>
      </c>
      <c r="AC37" s="28" t="s">
        <v>7109</v>
      </c>
      <c r="AD37" s="28" t="s">
        <v>7110</v>
      </c>
      <c r="AE37" s="54" t="s">
        <v>8269</v>
      </c>
      <c r="AF37" s="54"/>
      <c r="AG37" s="54" t="s">
        <v>8273</v>
      </c>
      <c r="AH37" s="53" t="s">
        <v>1591</v>
      </c>
      <c r="AI37" s="53" t="s">
        <v>2686</v>
      </c>
      <c r="AJ37" s="53" t="s">
        <v>1591</v>
      </c>
    </row>
    <row r="38" spans="1:36" s="3" customFormat="1" ht="36" x14ac:dyDescent="0.25">
      <c r="A38" s="35" t="s">
        <v>2685</v>
      </c>
      <c r="B38" s="18" t="s">
        <v>2535</v>
      </c>
      <c r="C38" s="76"/>
      <c r="D38" s="43" t="s">
        <v>5923</v>
      </c>
      <c r="E38" s="78"/>
      <c r="F38" s="36" t="s">
        <v>39</v>
      </c>
      <c r="G38" s="80"/>
      <c r="H38" s="80"/>
      <c r="I38" s="36" t="s">
        <v>469</v>
      </c>
      <c r="J38" s="34" t="s">
        <v>470</v>
      </c>
      <c r="K38" s="37" t="s">
        <v>2045</v>
      </c>
      <c r="L38" s="38">
        <v>41500</v>
      </c>
      <c r="M38" s="39">
        <v>41620</v>
      </c>
      <c r="N38" s="42">
        <v>2563727.8199999998</v>
      </c>
      <c r="O38" s="85"/>
      <c r="P38" s="86"/>
      <c r="Q38" s="41"/>
      <c r="R38" s="41">
        <v>2563727.8199999998</v>
      </c>
      <c r="S38" s="80"/>
      <c r="T38" s="81"/>
      <c r="U38" s="80"/>
      <c r="V38" s="80"/>
      <c r="W38" s="42"/>
      <c r="X38" s="42">
        <v>832591.56</v>
      </c>
      <c r="Y38" s="34" t="s">
        <v>4321</v>
      </c>
      <c r="Z38" s="19" t="s">
        <v>7038</v>
      </c>
      <c r="AA38" s="28" t="s">
        <v>7108</v>
      </c>
      <c r="AB38" s="56">
        <v>43418</v>
      </c>
      <c r="AC38" s="28" t="s">
        <v>7109</v>
      </c>
      <c r="AD38" s="28" t="s">
        <v>7110</v>
      </c>
      <c r="AE38" s="54"/>
      <c r="AF38" s="54"/>
      <c r="AG38" s="54" t="s">
        <v>8278</v>
      </c>
      <c r="AH38" s="53" t="s">
        <v>1591</v>
      </c>
      <c r="AI38" s="53" t="s">
        <v>2686</v>
      </c>
      <c r="AJ38" s="53" t="s">
        <v>1591</v>
      </c>
    </row>
    <row r="39" spans="1:36" s="3" customFormat="1" ht="60" x14ac:dyDescent="0.25">
      <c r="A39" s="17" t="s">
        <v>182</v>
      </c>
      <c r="B39" s="18" t="s">
        <v>2535</v>
      </c>
      <c r="C39" s="19" t="s">
        <v>4006</v>
      </c>
      <c r="D39" s="45" t="s">
        <v>4007</v>
      </c>
      <c r="E39" s="50" t="s">
        <v>4156</v>
      </c>
      <c r="F39" s="58">
        <v>6724318.4900000002</v>
      </c>
      <c r="G39" s="51">
        <v>5294948.53</v>
      </c>
      <c r="H39" s="51">
        <v>1429369.96</v>
      </c>
      <c r="I39" s="50" t="s">
        <v>900</v>
      </c>
      <c r="J39" s="58" t="s">
        <v>4157</v>
      </c>
      <c r="K39" s="52" t="s">
        <v>3126</v>
      </c>
      <c r="L39" s="59">
        <v>42895</v>
      </c>
      <c r="M39" s="60">
        <f>L39+300</f>
        <v>43195</v>
      </c>
      <c r="N39" s="51">
        <v>2270123.09</v>
      </c>
      <c r="O39" s="59">
        <v>43191</v>
      </c>
      <c r="P39" s="59"/>
      <c r="Q39" s="51"/>
      <c r="R39" s="51">
        <f>N39+Q39</f>
        <v>2270123.09</v>
      </c>
      <c r="S39" s="51">
        <v>0</v>
      </c>
      <c r="T39" s="52" t="s">
        <v>45</v>
      </c>
      <c r="U39" s="51">
        <v>256257.24</v>
      </c>
      <c r="V39" s="51">
        <v>256257.24</v>
      </c>
      <c r="W39" s="51">
        <v>256257.24</v>
      </c>
      <c r="X39" s="51">
        <v>256257.24</v>
      </c>
      <c r="Y39" s="19" t="s">
        <v>42</v>
      </c>
      <c r="Z39" s="19"/>
      <c r="AA39" s="28" t="s">
        <v>7108</v>
      </c>
      <c r="AB39" s="56">
        <v>43418</v>
      </c>
      <c r="AC39" s="28" t="s">
        <v>7109</v>
      </c>
      <c r="AD39" s="28" t="s">
        <v>7110</v>
      </c>
      <c r="AE39" s="54"/>
      <c r="AF39" s="54"/>
      <c r="AG39" s="54" t="s">
        <v>8277</v>
      </c>
      <c r="AH39" s="53" t="s">
        <v>1591</v>
      </c>
      <c r="AI39" s="53" t="s">
        <v>2686</v>
      </c>
      <c r="AJ39" s="53" t="s">
        <v>1591</v>
      </c>
    </row>
    <row r="40" spans="1:36" s="3" customFormat="1" ht="60" x14ac:dyDescent="0.25">
      <c r="A40" s="17" t="s">
        <v>182</v>
      </c>
      <c r="B40" s="18" t="s">
        <v>2535</v>
      </c>
      <c r="C40" s="19" t="s">
        <v>2565</v>
      </c>
      <c r="D40" s="45" t="s">
        <v>2566</v>
      </c>
      <c r="E40" s="50" t="s">
        <v>2567</v>
      </c>
      <c r="F40" s="58">
        <v>1854134.91</v>
      </c>
      <c r="G40" s="51">
        <v>967546.16</v>
      </c>
      <c r="H40" s="51">
        <v>886588.75</v>
      </c>
      <c r="I40" s="50" t="s">
        <v>295</v>
      </c>
      <c r="J40" s="58" t="s">
        <v>296</v>
      </c>
      <c r="K40" s="52" t="s">
        <v>2568</v>
      </c>
      <c r="L40" s="59" t="s">
        <v>2919</v>
      </c>
      <c r="M40" s="60">
        <v>42580</v>
      </c>
      <c r="N40" s="51">
        <v>1986955.39</v>
      </c>
      <c r="O40" s="59">
        <v>42826</v>
      </c>
      <c r="P40" s="59">
        <f>M40+30*30</f>
        <v>43480</v>
      </c>
      <c r="Q40" s="51">
        <f>N40-1986955.39</f>
        <v>0</v>
      </c>
      <c r="R40" s="51">
        <f>N40+Q40</f>
        <v>1986955.39</v>
      </c>
      <c r="S40" s="51">
        <v>15157.72</v>
      </c>
      <c r="T40" s="52" t="s">
        <v>45</v>
      </c>
      <c r="U40" s="51">
        <v>0</v>
      </c>
      <c r="V40" s="51">
        <v>0</v>
      </c>
      <c r="W40" s="51">
        <v>0</v>
      </c>
      <c r="X40" s="51">
        <v>794950.79</v>
      </c>
      <c r="Y40" s="19" t="s">
        <v>4280</v>
      </c>
      <c r="Z40" s="19"/>
      <c r="AA40" s="28" t="s">
        <v>7108</v>
      </c>
      <c r="AB40" s="56">
        <v>43418</v>
      </c>
      <c r="AC40" s="28" t="s">
        <v>7109</v>
      </c>
      <c r="AD40" s="28" t="s">
        <v>7110</v>
      </c>
      <c r="AE40" s="54"/>
      <c r="AF40" s="54"/>
      <c r="AG40" s="54"/>
      <c r="AH40" s="53"/>
      <c r="AI40" s="53" t="s">
        <v>1591</v>
      </c>
      <c r="AJ40" s="53" t="s">
        <v>1591</v>
      </c>
    </row>
    <row r="41" spans="1:36" s="3" customFormat="1" ht="48" x14ac:dyDescent="0.25">
      <c r="A41" s="17" t="s">
        <v>182</v>
      </c>
      <c r="B41" s="18" t="s">
        <v>2535</v>
      </c>
      <c r="C41" s="19" t="s">
        <v>4010</v>
      </c>
      <c r="D41" s="45" t="s">
        <v>4011</v>
      </c>
      <c r="E41" s="50" t="s">
        <v>4160</v>
      </c>
      <c r="F41" s="58">
        <v>1854134.91</v>
      </c>
      <c r="G41" s="51">
        <v>967546.16</v>
      </c>
      <c r="H41" s="51">
        <v>886588.75</v>
      </c>
      <c r="I41" s="50" t="s">
        <v>4161</v>
      </c>
      <c r="J41" s="58" t="s">
        <v>4162</v>
      </c>
      <c r="K41" s="52" t="s">
        <v>3217</v>
      </c>
      <c r="L41" s="59">
        <v>42907</v>
      </c>
      <c r="M41" s="60">
        <f>L41+240</f>
        <v>43147</v>
      </c>
      <c r="N41" s="51">
        <v>1382209.83</v>
      </c>
      <c r="O41" s="59">
        <v>43132</v>
      </c>
      <c r="P41" s="59"/>
      <c r="Q41" s="51"/>
      <c r="R41" s="51">
        <f>N41+Q41</f>
        <v>1382209.83</v>
      </c>
      <c r="S41" s="51">
        <v>0</v>
      </c>
      <c r="T41" s="52" t="s">
        <v>45</v>
      </c>
      <c r="U41" s="51">
        <v>57347.75</v>
      </c>
      <c r="V41" s="51">
        <v>0</v>
      </c>
      <c r="W41" s="51">
        <v>0</v>
      </c>
      <c r="X41" s="51">
        <v>0</v>
      </c>
      <c r="Y41" s="19" t="s">
        <v>42</v>
      </c>
      <c r="Z41" s="19"/>
      <c r="AA41" s="28" t="s">
        <v>7108</v>
      </c>
      <c r="AB41" s="56">
        <v>43418</v>
      </c>
      <c r="AC41" s="28" t="s">
        <v>7109</v>
      </c>
      <c r="AD41" s="28" t="s">
        <v>7110</v>
      </c>
      <c r="AE41" s="54"/>
      <c r="AF41" s="54"/>
      <c r="AG41" s="54" t="s">
        <v>8293</v>
      </c>
      <c r="AH41" s="53" t="s">
        <v>1591</v>
      </c>
      <c r="AI41" s="53" t="s">
        <v>2686</v>
      </c>
      <c r="AJ41" s="53" t="s">
        <v>1591</v>
      </c>
    </row>
    <row r="42" spans="1:36" s="3" customFormat="1" ht="96" x14ac:dyDescent="0.25">
      <c r="A42" s="17" t="s">
        <v>182</v>
      </c>
      <c r="B42" s="18" t="s">
        <v>2535</v>
      </c>
      <c r="C42" s="76" t="s">
        <v>5925</v>
      </c>
      <c r="D42" s="45" t="s">
        <v>5926</v>
      </c>
      <c r="E42" s="78" t="s">
        <v>5924</v>
      </c>
      <c r="F42" s="79">
        <v>43704149.509999998</v>
      </c>
      <c r="G42" s="80">
        <v>28500000</v>
      </c>
      <c r="H42" s="80">
        <v>15204149.51</v>
      </c>
      <c r="I42" s="78" t="s">
        <v>236</v>
      </c>
      <c r="J42" s="79" t="s">
        <v>319</v>
      </c>
      <c r="K42" s="81" t="s">
        <v>591</v>
      </c>
      <c r="L42" s="82">
        <v>41600</v>
      </c>
      <c r="M42" s="83">
        <v>42641</v>
      </c>
      <c r="N42" s="80">
        <v>1098004.17</v>
      </c>
      <c r="O42" s="82">
        <v>43070</v>
      </c>
      <c r="P42" s="84" t="s">
        <v>5872</v>
      </c>
      <c r="Q42" s="80">
        <v>260418.47999999998</v>
      </c>
      <c r="R42" s="80">
        <v>1358422.65</v>
      </c>
      <c r="S42" s="80">
        <v>14353.085397678513</v>
      </c>
      <c r="T42" s="81" t="s">
        <v>45</v>
      </c>
      <c r="U42" s="80">
        <v>1029263.84</v>
      </c>
      <c r="V42" s="80"/>
      <c r="W42" s="80"/>
      <c r="X42" s="80">
        <v>823181.89</v>
      </c>
      <c r="Y42" s="76" t="s">
        <v>5897</v>
      </c>
      <c r="Z42" s="19" t="s">
        <v>7038</v>
      </c>
      <c r="AA42" s="28" t="s">
        <v>7108</v>
      </c>
      <c r="AB42" s="56">
        <v>43418</v>
      </c>
      <c r="AC42" s="28" t="s">
        <v>7109</v>
      </c>
      <c r="AD42" s="28" t="s">
        <v>7110</v>
      </c>
      <c r="AE42" s="54" t="s">
        <v>8274</v>
      </c>
      <c r="AF42" s="54"/>
      <c r="AG42" s="54" t="s">
        <v>1661</v>
      </c>
      <c r="AH42" s="53" t="s">
        <v>1591</v>
      </c>
      <c r="AI42" s="53" t="s">
        <v>2686</v>
      </c>
      <c r="AJ42" s="53" t="s">
        <v>1591</v>
      </c>
    </row>
    <row r="43" spans="1:36" s="3" customFormat="1" ht="48" x14ac:dyDescent="0.25">
      <c r="A43" s="17" t="s">
        <v>182</v>
      </c>
      <c r="B43" s="18" t="s">
        <v>2535</v>
      </c>
      <c r="C43" s="19" t="s">
        <v>4000</v>
      </c>
      <c r="D43" s="45" t="s">
        <v>4001</v>
      </c>
      <c r="E43" s="50" t="s">
        <v>4151</v>
      </c>
      <c r="F43" s="58">
        <v>1105026.98</v>
      </c>
      <c r="G43" s="51">
        <v>737870.79</v>
      </c>
      <c r="H43" s="51">
        <v>367156.19</v>
      </c>
      <c r="I43" s="50" t="s">
        <v>520</v>
      </c>
      <c r="J43" s="58" t="s">
        <v>4152</v>
      </c>
      <c r="K43" s="52" t="s">
        <v>3101</v>
      </c>
      <c r="L43" s="59">
        <v>42898</v>
      </c>
      <c r="M43" s="60">
        <f>L43+180</f>
        <v>43078</v>
      </c>
      <c r="N43" s="51">
        <v>1218732.31</v>
      </c>
      <c r="O43" s="59" t="s">
        <v>4281</v>
      </c>
      <c r="P43" s="59">
        <f>M43+6*30</f>
        <v>43258</v>
      </c>
      <c r="Q43" s="51">
        <f>1245381.85-N43</f>
        <v>26649.540000000037</v>
      </c>
      <c r="R43" s="51">
        <f>N43+Q43</f>
        <v>1245381.8500000001</v>
      </c>
      <c r="S43" s="51">
        <v>0</v>
      </c>
      <c r="T43" s="52" t="s">
        <v>45</v>
      </c>
      <c r="U43" s="51">
        <v>39000.22</v>
      </c>
      <c r="V43" s="51">
        <v>0</v>
      </c>
      <c r="W43" s="51">
        <v>0</v>
      </c>
      <c r="X43" s="51">
        <v>38719.370000000003</v>
      </c>
      <c r="Y43" s="19" t="s">
        <v>42</v>
      </c>
      <c r="Z43" s="19"/>
      <c r="AA43" s="28" t="s">
        <v>7108</v>
      </c>
      <c r="AB43" s="56">
        <v>43418</v>
      </c>
      <c r="AC43" s="28" t="s">
        <v>7109</v>
      </c>
      <c r="AD43" s="28" t="s">
        <v>7110</v>
      </c>
      <c r="AE43" s="54"/>
      <c r="AF43" s="54"/>
      <c r="AG43" s="54" t="s">
        <v>8294</v>
      </c>
      <c r="AH43" s="53" t="s">
        <v>1591</v>
      </c>
      <c r="AI43" s="53" t="s">
        <v>2686</v>
      </c>
      <c r="AJ43" s="53" t="s">
        <v>1591</v>
      </c>
    </row>
    <row r="44" spans="1:36" s="3" customFormat="1" ht="48" x14ac:dyDescent="0.25">
      <c r="A44" s="17" t="s">
        <v>182</v>
      </c>
      <c r="B44" s="18" t="s">
        <v>2535</v>
      </c>
      <c r="C44" s="76" t="s">
        <v>5927</v>
      </c>
      <c r="D44" s="45" t="s">
        <v>5928</v>
      </c>
      <c r="E44" s="78" t="s">
        <v>39</v>
      </c>
      <c r="F44" s="79" t="s">
        <v>39</v>
      </c>
      <c r="G44" s="80" t="s">
        <v>39</v>
      </c>
      <c r="H44" s="80" t="s">
        <v>39</v>
      </c>
      <c r="I44" s="78" t="s">
        <v>1120</v>
      </c>
      <c r="J44" s="79" t="s">
        <v>5929</v>
      </c>
      <c r="K44" s="81" t="s">
        <v>1202</v>
      </c>
      <c r="L44" s="82">
        <v>41759</v>
      </c>
      <c r="M44" s="83"/>
      <c r="N44" s="80">
        <v>1117417.82</v>
      </c>
      <c r="O44" s="82" t="s">
        <v>46</v>
      </c>
      <c r="P44" s="84"/>
      <c r="Q44" s="80">
        <v>0</v>
      </c>
      <c r="R44" s="80">
        <v>1117417.82</v>
      </c>
      <c r="S44" s="80"/>
      <c r="T44" s="81" t="s">
        <v>45</v>
      </c>
      <c r="U44" s="80"/>
      <c r="V44" s="80"/>
      <c r="W44" s="80"/>
      <c r="X44" s="80"/>
      <c r="Y44" s="76" t="s">
        <v>5873</v>
      </c>
      <c r="Z44" s="19" t="s">
        <v>7038</v>
      </c>
      <c r="AA44" s="28" t="s">
        <v>7108</v>
      </c>
      <c r="AB44" s="56">
        <v>43418</v>
      </c>
      <c r="AC44" s="28" t="s">
        <v>7109</v>
      </c>
      <c r="AD44" s="28" t="s">
        <v>7110</v>
      </c>
      <c r="AE44" s="54"/>
      <c r="AF44" s="54"/>
      <c r="AG44" s="54" t="s">
        <v>8278</v>
      </c>
      <c r="AH44" s="53" t="s">
        <v>1591</v>
      </c>
      <c r="AI44" s="53" t="s">
        <v>2686</v>
      </c>
      <c r="AJ44" s="53" t="s">
        <v>1591</v>
      </c>
    </row>
    <row r="45" spans="1:36" s="3" customFormat="1" ht="48" x14ac:dyDescent="0.25">
      <c r="A45" s="17" t="s">
        <v>182</v>
      </c>
      <c r="B45" s="18" t="s">
        <v>2535</v>
      </c>
      <c r="C45" s="19" t="s">
        <v>2589</v>
      </c>
      <c r="D45" s="45" t="s">
        <v>2590</v>
      </c>
      <c r="E45" s="50"/>
      <c r="F45" s="58"/>
      <c r="G45" s="51"/>
      <c r="H45" s="51"/>
      <c r="I45" s="50" t="s">
        <v>327</v>
      </c>
      <c r="J45" s="58" t="s">
        <v>1094</v>
      </c>
      <c r="K45" s="52" t="s">
        <v>345</v>
      </c>
      <c r="L45" s="59">
        <v>42683</v>
      </c>
      <c r="M45" s="60">
        <f>L45+6*30</f>
        <v>42863</v>
      </c>
      <c r="N45" s="51">
        <v>1086898.33</v>
      </c>
      <c r="O45" s="59">
        <v>43191</v>
      </c>
      <c r="P45" s="59">
        <f>M45+6*30</f>
        <v>43043</v>
      </c>
      <c r="Q45" s="51"/>
      <c r="R45" s="51">
        <f>N45+Q45</f>
        <v>1086898.33</v>
      </c>
      <c r="S45" s="51">
        <v>14402.65</v>
      </c>
      <c r="T45" s="52" t="s">
        <v>45</v>
      </c>
      <c r="U45" s="51">
        <v>315442.40000000002</v>
      </c>
      <c r="V45" s="51">
        <v>269999.5</v>
      </c>
      <c r="W45" s="51">
        <v>269999.5</v>
      </c>
      <c r="X45" s="51">
        <v>269999.5</v>
      </c>
      <c r="Y45" s="19" t="s">
        <v>42</v>
      </c>
      <c r="Z45" s="19"/>
      <c r="AA45" s="28" t="s">
        <v>7663</v>
      </c>
      <c r="AB45" s="56">
        <v>43418</v>
      </c>
      <c r="AC45" s="28" t="s">
        <v>7664</v>
      </c>
      <c r="AD45" s="28" t="s">
        <v>7665</v>
      </c>
      <c r="AE45" s="54"/>
      <c r="AF45" s="54"/>
      <c r="AG45" s="54" t="s">
        <v>8279</v>
      </c>
      <c r="AH45" s="53" t="s">
        <v>1591</v>
      </c>
      <c r="AI45" s="53" t="s">
        <v>2686</v>
      </c>
      <c r="AJ45" s="53" t="s">
        <v>1591</v>
      </c>
    </row>
    <row r="46" spans="1:36" s="3" customFormat="1" ht="48" x14ac:dyDescent="0.25">
      <c r="A46" s="17" t="s">
        <v>182</v>
      </c>
      <c r="B46" s="18" t="s">
        <v>2535</v>
      </c>
      <c r="C46" s="19" t="s">
        <v>4008</v>
      </c>
      <c r="D46" s="45" t="s">
        <v>4009</v>
      </c>
      <c r="E46" s="50" t="s">
        <v>4158</v>
      </c>
      <c r="F46" s="58">
        <v>865943.16</v>
      </c>
      <c r="G46" s="51">
        <v>584275.25</v>
      </c>
      <c r="H46" s="51">
        <v>281667.90999999997</v>
      </c>
      <c r="I46" s="50" t="s">
        <v>2796</v>
      </c>
      <c r="J46" s="58" t="s">
        <v>4159</v>
      </c>
      <c r="K46" s="52" t="s">
        <v>3103</v>
      </c>
      <c r="L46" s="59">
        <v>42898</v>
      </c>
      <c r="M46" s="60">
        <f>L46+180</f>
        <v>43078</v>
      </c>
      <c r="N46" s="51">
        <v>1073147.9099999999</v>
      </c>
      <c r="O46" s="59">
        <v>43070</v>
      </c>
      <c r="P46" s="59">
        <f>M46+6*30</f>
        <v>43258</v>
      </c>
      <c r="Q46" s="51"/>
      <c r="R46" s="51">
        <f>N46+Q46</f>
        <v>1073147.9099999999</v>
      </c>
      <c r="S46" s="51">
        <v>0</v>
      </c>
      <c r="T46" s="52" t="s">
        <v>45</v>
      </c>
      <c r="U46" s="51">
        <v>72370.19</v>
      </c>
      <c r="V46" s="51">
        <v>28457.93</v>
      </c>
      <c r="W46" s="51">
        <v>28457.93</v>
      </c>
      <c r="X46" s="51">
        <v>28457.93</v>
      </c>
      <c r="Y46" s="19" t="s">
        <v>575</v>
      </c>
      <c r="Z46" s="19"/>
      <c r="AA46" s="28" t="s">
        <v>7108</v>
      </c>
      <c r="AB46" s="56">
        <v>43418</v>
      </c>
      <c r="AC46" s="28" t="s">
        <v>7109</v>
      </c>
      <c r="AD46" s="28" t="s">
        <v>7110</v>
      </c>
      <c r="AE46" s="54"/>
      <c r="AF46" s="54"/>
      <c r="AG46" s="54" t="s">
        <v>8295</v>
      </c>
      <c r="AH46" s="53" t="s">
        <v>1591</v>
      </c>
      <c r="AI46" s="53" t="s">
        <v>2686</v>
      </c>
      <c r="AJ46" s="53" t="s">
        <v>1591</v>
      </c>
    </row>
    <row r="47" spans="1:36" s="3" customFormat="1" ht="36" x14ac:dyDescent="0.25">
      <c r="A47" s="17" t="s">
        <v>182</v>
      </c>
      <c r="B47" s="18" t="s">
        <v>2535</v>
      </c>
      <c r="C47" s="19" t="s">
        <v>3998</v>
      </c>
      <c r="D47" s="45" t="s">
        <v>3999</v>
      </c>
      <c r="E47" s="50" t="s">
        <v>4149</v>
      </c>
      <c r="F47" s="58">
        <v>4461106.62</v>
      </c>
      <c r="G47" s="51">
        <v>3524068.96</v>
      </c>
      <c r="H47" s="51">
        <v>937037.66</v>
      </c>
      <c r="I47" s="50" t="s">
        <v>3881</v>
      </c>
      <c r="J47" s="58" t="s">
        <v>4150</v>
      </c>
      <c r="K47" s="52" t="s">
        <v>3165</v>
      </c>
      <c r="L47" s="59">
        <v>42912</v>
      </c>
      <c r="M47" s="60">
        <f>L47+240</f>
        <v>43152</v>
      </c>
      <c r="N47" s="51">
        <v>831712.24</v>
      </c>
      <c r="O47" s="59">
        <v>42979</v>
      </c>
      <c r="P47" s="59"/>
      <c r="Q47" s="51"/>
      <c r="R47" s="51">
        <f>N47+Q47</f>
        <v>831712.24</v>
      </c>
      <c r="S47" s="51">
        <v>0</v>
      </c>
      <c r="T47" s="52" t="s">
        <v>45</v>
      </c>
      <c r="U47" s="51">
        <v>33518.660000000003</v>
      </c>
      <c r="V47" s="51">
        <v>0</v>
      </c>
      <c r="W47" s="51">
        <v>0</v>
      </c>
      <c r="X47" s="51">
        <v>0</v>
      </c>
      <c r="Y47" s="19" t="s">
        <v>575</v>
      </c>
      <c r="Z47" s="19"/>
      <c r="AA47" s="28" t="s">
        <v>7108</v>
      </c>
      <c r="AB47" s="56">
        <v>43418</v>
      </c>
      <c r="AC47" s="28" t="s">
        <v>7109</v>
      </c>
      <c r="AD47" s="28" t="s">
        <v>7110</v>
      </c>
      <c r="AE47" s="54"/>
      <c r="AF47" s="54"/>
      <c r="AG47" s="54" t="s">
        <v>8296</v>
      </c>
      <c r="AH47" s="53" t="s">
        <v>1591</v>
      </c>
      <c r="AI47" s="53" t="s">
        <v>2686</v>
      </c>
      <c r="AJ47" s="53" t="s">
        <v>1591</v>
      </c>
    </row>
    <row r="48" spans="1:36" s="3" customFormat="1" ht="60" x14ac:dyDescent="0.25">
      <c r="A48" s="17" t="s">
        <v>182</v>
      </c>
      <c r="B48" s="18" t="s">
        <v>2535</v>
      </c>
      <c r="C48" s="19" t="s">
        <v>2569</v>
      </c>
      <c r="D48" s="45" t="s">
        <v>2570</v>
      </c>
      <c r="E48" s="50" t="s">
        <v>2571</v>
      </c>
      <c r="F48" s="58">
        <v>2279413.04</v>
      </c>
      <c r="G48" s="51">
        <v>1469716.88</v>
      </c>
      <c r="H48" s="51">
        <v>809696.16</v>
      </c>
      <c r="I48" s="50" t="s">
        <v>2572</v>
      </c>
      <c r="J48" s="58" t="s">
        <v>2573</v>
      </c>
      <c r="K48" s="52" t="s">
        <v>1056</v>
      </c>
      <c r="L48" s="59">
        <v>41589</v>
      </c>
      <c r="M48" s="60">
        <v>42503</v>
      </c>
      <c r="N48" s="51">
        <v>809016.64</v>
      </c>
      <c r="O48" s="59">
        <v>43252</v>
      </c>
      <c r="P48" s="59">
        <f>M48+20*30</f>
        <v>43103</v>
      </c>
      <c r="Q48" s="51">
        <f>N48-809016.64</f>
        <v>0</v>
      </c>
      <c r="R48" s="51">
        <f>N48+Q48</f>
        <v>809016.64</v>
      </c>
      <c r="S48" s="51">
        <v>29510.560000000001</v>
      </c>
      <c r="T48" s="52" t="s">
        <v>45</v>
      </c>
      <c r="U48" s="51">
        <v>74394.36</v>
      </c>
      <c r="V48" s="51">
        <v>107760.78</v>
      </c>
      <c r="W48" s="51">
        <v>107760.78</v>
      </c>
      <c r="X48" s="51">
        <v>289053.75</v>
      </c>
      <c r="Y48" s="19" t="s">
        <v>42</v>
      </c>
      <c r="Z48" s="19"/>
      <c r="AA48" s="28" t="s">
        <v>7108</v>
      </c>
      <c r="AB48" s="56">
        <v>43418</v>
      </c>
      <c r="AC48" s="28" t="s">
        <v>7109</v>
      </c>
      <c r="AD48" s="28" t="s">
        <v>7110</v>
      </c>
      <c r="AE48" s="54" t="s">
        <v>8297</v>
      </c>
      <c r="AF48" s="54"/>
      <c r="AG48" s="54" t="s">
        <v>1622</v>
      </c>
      <c r="AH48" s="53" t="s">
        <v>1591</v>
      </c>
      <c r="AI48" s="53" t="s">
        <v>2686</v>
      </c>
      <c r="AJ48" s="53" t="s">
        <v>1591</v>
      </c>
    </row>
    <row r="49" spans="1:36" s="3" customFormat="1" ht="60" x14ac:dyDescent="0.25">
      <c r="A49" s="35" t="s">
        <v>182</v>
      </c>
      <c r="B49" s="18" t="s">
        <v>2535</v>
      </c>
      <c r="C49" s="76"/>
      <c r="D49" s="43" t="s">
        <v>5930</v>
      </c>
      <c r="E49" s="78"/>
      <c r="F49" s="36"/>
      <c r="G49" s="80"/>
      <c r="H49" s="80"/>
      <c r="I49" s="36" t="s">
        <v>5931</v>
      </c>
      <c r="J49" s="34" t="s">
        <v>5932</v>
      </c>
      <c r="K49" s="37" t="s">
        <v>5933</v>
      </c>
      <c r="L49" s="38">
        <v>39960</v>
      </c>
      <c r="M49" s="39">
        <v>41716</v>
      </c>
      <c r="N49" s="42">
        <v>661062.22</v>
      </c>
      <c r="O49" s="85"/>
      <c r="P49" s="86">
        <v>43366</v>
      </c>
      <c r="Q49" s="41">
        <v>23730.79</v>
      </c>
      <c r="R49" s="41">
        <v>684793.01</v>
      </c>
      <c r="S49" s="80"/>
      <c r="T49" s="81"/>
      <c r="U49" s="80"/>
      <c r="V49" s="80"/>
      <c r="W49" s="42"/>
      <c r="X49" s="42"/>
      <c r="Y49" s="34" t="s">
        <v>4321</v>
      </c>
      <c r="Z49" s="19" t="s">
        <v>7038</v>
      </c>
      <c r="AA49" s="28" t="s">
        <v>7108</v>
      </c>
      <c r="AB49" s="56">
        <v>43418</v>
      </c>
      <c r="AC49" s="28" t="s">
        <v>7109</v>
      </c>
      <c r="AD49" s="28" t="s">
        <v>7110</v>
      </c>
      <c r="AE49" s="54" t="s">
        <v>8280</v>
      </c>
      <c r="AF49" s="54"/>
      <c r="AG49" s="54" t="s">
        <v>8275</v>
      </c>
      <c r="AH49" s="53" t="s">
        <v>1591</v>
      </c>
      <c r="AI49" s="53" t="s">
        <v>2686</v>
      </c>
      <c r="AJ49" s="53" t="s">
        <v>1591</v>
      </c>
    </row>
    <row r="50" spans="1:36" s="3" customFormat="1" ht="84" x14ac:dyDescent="0.25">
      <c r="A50" s="17" t="s">
        <v>182</v>
      </c>
      <c r="B50" s="18" t="s">
        <v>2535</v>
      </c>
      <c r="C50" s="76" t="s">
        <v>5934</v>
      </c>
      <c r="D50" s="45" t="s">
        <v>5935</v>
      </c>
      <c r="E50" s="78" t="s">
        <v>39</v>
      </c>
      <c r="F50" s="79" t="s">
        <v>39</v>
      </c>
      <c r="G50" s="80" t="s">
        <v>39</v>
      </c>
      <c r="H50" s="80" t="s">
        <v>39</v>
      </c>
      <c r="I50" s="78" t="s">
        <v>619</v>
      </c>
      <c r="J50" s="79" t="s">
        <v>5936</v>
      </c>
      <c r="K50" s="81" t="s">
        <v>490</v>
      </c>
      <c r="L50" s="82">
        <v>41684</v>
      </c>
      <c r="M50" s="83">
        <v>42299</v>
      </c>
      <c r="N50" s="80">
        <v>624349.81000000006</v>
      </c>
      <c r="O50" s="82">
        <v>43191</v>
      </c>
      <c r="P50" s="84" t="s">
        <v>5937</v>
      </c>
      <c r="Q50" s="80">
        <v>0</v>
      </c>
      <c r="R50" s="80">
        <v>624349.81000000006</v>
      </c>
      <c r="S50" s="80">
        <v>0</v>
      </c>
      <c r="T50" s="81" t="s">
        <v>45</v>
      </c>
      <c r="U50" s="80">
        <v>191129.48</v>
      </c>
      <c r="V50" s="80"/>
      <c r="W50" s="80"/>
      <c r="X50" s="80">
        <v>191129.48</v>
      </c>
      <c r="Y50" s="76" t="s">
        <v>5873</v>
      </c>
      <c r="Z50" s="19" t="s">
        <v>7038</v>
      </c>
      <c r="AA50" s="28" t="s">
        <v>7108</v>
      </c>
      <c r="AB50" s="56">
        <v>43418</v>
      </c>
      <c r="AC50" s="28" t="s">
        <v>7109</v>
      </c>
      <c r="AD50" s="28" t="s">
        <v>7110</v>
      </c>
      <c r="AE50" s="54" t="s">
        <v>8281</v>
      </c>
      <c r="AF50" s="54"/>
      <c r="AG50" s="54" t="s">
        <v>8282</v>
      </c>
      <c r="AH50" s="53" t="s">
        <v>1591</v>
      </c>
      <c r="AI50" s="53" t="s">
        <v>2686</v>
      </c>
      <c r="AJ50" s="53" t="s">
        <v>1591</v>
      </c>
    </row>
    <row r="51" spans="1:36" s="3" customFormat="1" ht="48" x14ac:dyDescent="0.25">
      <c r="A51" s="17" t="s">
        <v>182</v>
      </c>
      <c r="B51" s="18" t="s">
        <v>2535</v>
      </c>
      <c r="C51" s="76" t="s">
        <v>5938</v>
      </c>
      <c r="D51" s="45" t="s">
        <v>5939</v>
      </c>
      <c r="E51" s="78" t="s">
        <v>5940</v>
      </c>
      <c r="F51" s="79">
        <v>1122014.8799999999</v>
      </c>
      <c r="G51" s="80">
        <v>988805.95</v>
      </c>
      <c r="H51" s="80">
        <v>133208.93</v>
      </c>
      <c r="I51" s="78" t="s">
        <v>1120</v>
      </c>
      <c r="J51" s="79" t="s">
        <v>5929</v>
      </c>
      <c r="K51" s="81" t="s">
        <v>54</v>
      </c>
      <c r="L51" s="82">
        <v>41744</v>
      </c>
      <c r="M51" s="83">
        <v>42395</v>
      </c>
      <c r="N51" s="80">
        <v>555377.74300000002</v>
      </c>
      <c r="O51" s="82">
        <v>42948</v>
      </c>
      <c r="P51" s="84" t="s">
        <v>5941</v>
      </c>
      <c r="Q51" s="80">
        <v>0</v>
      </c>
      <c r="R51" s="80">
        <v>555377.74300000002</v>
      </c>
      <c r="S51" s="80">
        <v>0</v>
      </c>
      <c r="T51" s="81" t="s">
        <v>45</v>
      </c>
      <c r="U51" s="80">
        <v>6888.83</v>
      </c>
      <c r="V51" s="80"/>
      <c r="W51" s="80"/>
      <c r="X51" s="80">
        <v>6888.83</v>
      </c>
      <c r="Y51" s="76" t="s">
        <v>5873</v>
      </c>
      <c r="Z51" s="19" t="s">
        <v>7038</v>
      </c>
      <c r="AA51" s="28" t="s">
        <v>7108</v>
      </c>
      <c r="AB51" s="56">
        <v>43418</v>
      </c>
      <c r="AC51" s="28" t="s">
        <v>7109</v>
      </c>
      <c r="AD51" s="28" t="s">
        <v>7110</v>
      </c>
      <c r="AE51" s="54" t="s">
        <v>8284</v>
      </c>
      <c r="AF51" s="54"/>
      <c r="AG51" s="54" t="s">
        <v>8283</v>
      </c>
      <c r="AH51" s="53" t="s">
        <v>1591</v>
      </c>
      <c r="AI51" s="53" t="s">
        <v>2686</v>
      </c>
      <c r="AJ51" s="53" t="s">
        <v>1591</v>
      </c>
    </row>
    <row r="52" spans="1:36" s="3" customFormat="1" ht="72" x14ac:dyDescent="0.25">
      <c r="A52" s="17" t="s">
        <v>182</v>
      </c>
      <c r="B52" s="18" t="s">
        <v>2535</v>
      </c>
      <c r="C52" s="76" t="s">
        <v>5942</v>
      </c>
      <c r="D52" s="45" t="s">
        <v>5943</v>
      </c>
      <c r="E52" s="78" t="s">
        <v>39</v>
      </c>
      <c r="F52" s="79" t="s">
        <v>39</v>
      </c>
      <c r="G52" s="80" t="s">
        <v>39</v>
      </c>
      <c r="H52" s="80" t="s">
        <v>39</v>
      </c>
      <c r="I52" s="78" t="s">
        <v>236</v>
      </c>
      <c r="J52" s="79" t="s">
        <v>319</v>
      </c>
      <c r="K52" s="81" t="s">
        <v>1593</v>
      </c>
      <c r="L52" s="82">
        <v>41957</v>
      </c>
      <c r="M52" s="83">
        <v>42527</v>
      </c>
      <c r="N52" s="80">
        <v>521242.02</v>
      </c>
      <c r="O52" s="82" t="s">
        <v>46</v>
      </c>
      <c r="P52" s="84"/>
      <c r="Q52" s="80">
        <v>0</v>
      </c>
      <c r="R52" s="80">
        <v>521242.02</v>
      </c>
      <c r="S52" s="80">
        <v>0</v>
      </c>
      <c r="T52" s="81" t="s">
        <v>45</v>
      </c>
      <c r="U52" s="80">
        <v>289437.88</v>
      </c>
      <c r="V52" s="80"/>
      <c r="W52" s="80"/>
      <c r="X52" s="80">
        <v>146732.88</v>
      </c>
      <c r="Y52" s="76" t="s">
        <v>2557</v>
      </c>
      <c r="Z52" s="19" t="s">
        <v>7038</v>
      </c>
      <c r="AA52" s="28" t="s">
        <v>7108</v>
      </c>
      <c r="AB52" s="56">
        <v>43418</v>
      </c>
      <c r="AC52" s="28" t="s">
        <v>7109</v>
      </c>
      <c r="AD52" s="28" t="s">
        <v>7110</v>
      </c>
      <c r="AE52" s="54" t="s">
        <v>8276</v>
      </c>
      <c r="AF52" s="54"/>
      <c r="AG52" s="54" t="s">
        <v>8275</v>
      </c>
      <c r="AH52" s="53" t="s">
        <v>1591</v>
      </c>
      <c r="AI52" s="53" t="s">
        <v>2686</v>
      </c>
      <c r="AJ52" s="53" t="s">
        <v>1591</v>
      </c>
    </row>
    <row r="53" spans="1:36" s="3" customFormat="1" ht="36" x14ac:dyDescent="0.25">
      <c r="A53" s="17" t="s">
        <v>182</v>
      </c>
      <c r="B53" s="18" t="s">
        <v>2535</v>
      </c>
      <c r="C53" s="76" t="s">
        <v>5945</v>
      </c>
      <c r="D53" s="45" t="s">
        <v>5946</v>
      </c>
      <c r="E53" s="78" t="s">
        <v>5947</v>
      </c>
      <c r="F53" s="79">
        <v>485040.87</v>
      </c>
      <c r="G53" s="80">
        <v>295300</v>
      </c>
      <c r="H53" s="80">
        <v>189740.87</v>
      </c>
      <c r="I53" s="78" t="s">
        <v>5901</v>
      </c>
      <c r="J53" s="79" t="s">
        <v>5948</v>
      </c>
      <c r="K53" s="81" t="s">
        <v>394</v>
      </c>
      <c r="L53" s="82">
        <v>41710</v>
      </c>
      <c r="M53" s="83">
        <v>42310</v>
      </c>
      <c r="N53" s="80">
        <v>453461</v>
      </c>
      <c r="O53" s="82">
        <v>43070</v>
      </c>
      <c r="P53" s="84" t="s">
        <v>5949</v>
      </c>
      <c r="Q53" s="80">
        <v>0</v>
      </c>
      <c r="R53" s="80">
        <v>453461</v>
      </c>
      <c r="S53" s="80">
        <v>0</v>
      </c>
      <c r="T53" s="81" t="s">
        <v>45</v>
      </c>
      <c r="U53" s="80"/>
      <c r="V53" s="80"/>
      <c r="W53" s="80"/>
      <c r="X53" s="80"/>
      <c r="Y53" s="76" t="s">
        <v>5950</v>
      </c>
      <c r="Z53" s="19" t="s">
        <v>7038</v>
      </c>
      <c r="AA53" s="28" t="s">
        <v>7108</v>
      </c>
      <c r="AB53" s="56">
        <v>43418</v>
      </c>
      <c r="AC53" s="28" t="s">
        <v>7109</v>
      </c>
      <c r="AD53" s="28" t="s">
        <v>7110</v>
      </c>
      <c r="AE53" s="54"/>
      <c r="AF53" s="54"/>
      <c r="AG53" s="54" t="s">
        <v>8285</v>
      </c>
      <c r="AH53" s="53" t="s">
        <v>1591</v>
      </c>
      <c r="AI53" s="53" t="s">
        <v>2686</v>
      </c>
      <c r="AJ53" s="53" t="s">
        <v>1591</v>
      </c>
    </row>
    <row r="54" spans="1:36" s="3" customFormat="1" ht="36" x14ac:dyDescent="0.25">
      <c r="A54" s="17" t="s">
        <v>182</v>
      </c>
      <c r="B54" s="18" t="s">
        <v>2535</v>
      </c>
      <c r="C54" s="19" t="s">
        <v>2598</v>
      </c>
      <c r="D54" s="45" t="s">
        <v>2599</v>
      </c>
      <c r="E54" s="50" t="s">
        <v>1591</v>
      </c>
      <c r="F54" s="58" t="s">
        <v>1591</v>
      </c>
      <c r="G54" s="51"/>
      <c r="H54" s="51"/>
      <c r="I54" s="50" t="s">
        <v>892</v>
      </c>
      <c r="J54" s="58" t="s">
        <v>1420</v>
      </c>
      <c r="K54" s="52" t="s">
        <v>114</v>
      </c>
      <c r="L54" s="71">
        <v>42730</v>
      </c>
      <c r="M54" s="60" t="s">
        <v>4251</v>
      </c>
      <c r="N54" s="51">
        <v>392170.53</v>
      </c>
      <c r="O54" s="59" t="s">
        <v>46</v>
      </c>
      <c r="P54" s="59"/>
      <c r="Q54" s="51"/>
      <c r="R54" s="51">
        <f>N54+Q54</f>
        <v>392170.53</v>
      </c>
      <c r="S54" s="51">
        <v>0</v>
      </c>
      <c r="T54" s="52" t="s">
        <v>45</v>
      </c>
      <c r="U54" s="51">
        <v>0</v>
      </c>
      <c r="V54" s="51">
        <v>0</v>
      </c>
      <c r="W54" s="51">
        <v>0</v>
      </c>
      <c r="X54" s="51">
        <v>0</v>
      </c>
      <c r="Y54" s="19" t="s">
        <v>2578</v>
      </c>
      <c r="Z54" s="19"/>
      <c r="AA54" s="28" t="s">
        <v>7108</v>
      </c>
      <c r="AB54" s="56">
        <v>43418</v>
      </c>
      <c r="AC54" s="28" t="s">
        <v>7109</v>
      </c>
      <c r="AD54" s="28" t="s">
        <v>7110</v>
      </c>
      <c r="AE54" s="54"/>
      <c r="AF54" s="54"/>
      <c r="AG54" s="54" t="s">
        <v>8286</v>
      </c>
      <c r="AH54" s="53" t="s">
        <v>1591</v>
      </c>
      <c r="AI54" s="53" t="s">
        <v>2686</v>
      </c>
      <c r="AJ54" s="53" t="s">
        <v>1591</v>
      </c>
    </row>
    <row r="55" spans="1:36" s="3" customFormat="1" ht="48" x14ac:dyDescent="0.25">
      <c r="A55" s="17" t="s">
        <v>182</v>
      </c>
      <c r="B55" s="18" t="s">
        <v>2535</v>
      </c>
      <c r="C55" s="19" t="s">
        <v>4004</v>
      </c>
      <c r="D55" s="45" t="s">
        <v>4005</v>
      </c>
      <c r="E55" s="50" t="s">
        <v>4155</v>
      </c>
      <c r="F55" s="58">
        <v>1030682.54</v>
      </c>
      <c r="G55" s="51">
        <v>666032.16</v>
      </c>
      <c r="H55" s="51">
        <v>364650.38</v>
      </c>
      <c r="I55" s="58" t="s">
        <v>1186</v>
      </c>
      <c r="J55" s="58" t="s">
        <v>2597</v>
      </c>
      <c r="K55" s="52" t="s">
        <v>2892</v>
      </c>
      <c r="L55" s="59">
        <v>42902</v>
      </c>
      <c r="M55" s="60">
        <f>L55+150</f>
        <v>43052</v>
      </c>
      <c r="N55" s="51">
        <v>331564.86</v>
      </c>
      <c r="O55" s="59">
        <v>43070</v>
      </c>
      <c r="P55" s="59">
        <f>M55+5*30</f>
        <v>43202</v>
      </c>
      <c r="Q55" s="51"/>
      <c r="R55" s="51">
        <f>N55+Q55</f>
        <v>331564.86</v>
      </c>
      <c r="S55" s="51">
        <v>0</v>
      </c>
      <c r="T55" s="52" t="s">
        <v>45</v>
      </c>
      <c r="U55" s="51">
        <v>40053</v>
      </c>
      <c r="V55" s="51">
        <v>40053</v>
      </c>
      <c r="W55" s="51">
        <v>40053</v>
      </c>
      <c r="X55" s="51">
        <v>40053</v>
      </c>
      <c r="Y55" s="19" t="s">
        <v>575</v>
      </c>
      <c r="Z55" s="19"/>
      <c r="AA55" s="28" t="s">
        <v>7108</v>
      </c>
      <c r="AB55" s="56">
        <v>43418</v>
      </c>
      <c r="AC55" s="28" t="s">
        <v>7109</v>
      </c>
      <c r="AD55" s="28" t="s">
        <v>7110</v>
      </c>
      <c r="AE55" s="54"/>
      <c r="AF55" s="54"/>
      <c r="AG55" s="54"/>
      <c r="AH55" s="53"/>
      <c r="AI55" s="53" t="s">
        <v>1591</v>
      </c>
      <c r="AJ55" s="53" t="s">
        <v>1591</v>
      </c>
    </row>
    <row r="56" spans="1:36" s="3" customFormat="1" ht="60" x14ac:dyDescent="0.25">
      <c r="A56" s="35" t="s">
        <v>182</v>
      </c>
      <c r="B56" s="18" t="s">
        <v>2535</v>
      </c>
      <c r="C56" s="76"/>
      <c r="D56" s="43" t="s">
        <v>5951</v>
      </c>
      <c r="E56" s="78"/>
      <c r="F56" s="36"/>
      <c r="G56" s="80"/>
      <c r="H56" s="80"/>
      <c r="I56" s="36" t="s">
        <v>238</v>
      </c>
      <c r="J56" s="34" t="s">
        <v>2690</v>
      </c>
      <c r="K56" s="37" t="s">
        <v>5952</v>
      </c>
      <c r="L56" s="38">
        <v>40742</v>
      </c>
      <c r="M56" s="39">
        <v>41843</v>
      </c>
      <c r="N56" s="42">
        <v>279513.46000000002</v>
      </c>
      <c r="O56" s="85"/>
      <c r="P56" s="86">
        <v>42803</v>
      </c>
      <c r="Q56" s="41"/>
      <c r="R56" s="41">
        <v>279513.46000000002</v>
      </c>
      <c r="S56" s="80"/>
      <c r="T56" s="81"/>
      <c r="U56" s="80"/>
      <c r="V56" s="80"/>
      <c r="W56" s="42"/>
      <c r="X56" s="42">
        <v>10833.39</v>
      </c>
      <c r="Y56" s="34" t="s">
        <v>4321</v>
      </c>
      <c r="Z56" s="19" t="s">
        <v>7038</v>
      </c>
      <c r="AA56" s="28" t="s">
        <v>7108</v>
      </c>
      <c r="AB56" s="56">
        <v>43418</v>
      </c>
      <c r="AC56" s="28" t="s">
        <v>7109</v>
      </c>
      <c r="AD56" s="28" t="s">
        <v>7110</v>
      </c>
      <c r="AE56" s="54" t="s">
        <v>8287</v>
      </c>
      <c r="AF56" s="54"/>
      <c r="AG56" s="54" t="s">
        <v>8275</v>
      </c>
      <c r="AH56" s="53" t="s">
        <v>1591</v>
      </c>
      <c r="AI56" s="53" t="s">
        <v>2686</v>
      </c>
      <c r="AJ56" s="53" t="s">
        <v>1591</v>
      </c>
    </row>
    <row r="57" spans="1:36" s="3" customFormat="1" ht="60" x14ac:dyDescent="0.25">
      <c r="A57" s="17" t="s">
        <v>182</v>
      </c>
      <c r="B57" s="18" t="s">
        <v>2535</v>
      </c>
      <c r="C57" s="19" t="s">
        <v>2574</v>
      </c>
      <c r="D57" s="45" t="s">
        <v>2575</v>
      </c>
      <c r="E57" s="50" t="s">
        <v>2576</v>
      </c>
      <c r="F57" s="58">
        <v>922072.2</v>
      </c>
      <c r="G57" s="51">
        <v>653361.76</v>
      </c>
      <c r="H57" s="51">
        <v>268710.44</v>
      </c>
      <c r="I57" s="50" t="s">
        <v>1290</v>
      </c>
      <c r="J57" s="58" t="s">
        <v>2577</v>
      </c>
      <c r="K57" s="52" t="s">
        <v>782</v>
      </c>
      <c r="L57" s="59">
        <v>41719</v>
      </c>
      <c r="M57" s="60">
        <v>42455</v>
      </c>
      <c r="N57" s="51">
        <v>174483.58</v>
      </c>
      <c r="O57" s="59">
        <v>43070</v>
      </c>
      <c r="P57" s="59">
        <f>M57+24*30</f>
        <v>43175</v>
      </c>
      <c r="Q57" s="51">
        <f>174483.58-N57</f>
        <v>0</v>
      </c>
      <c r="R57" s="51">
        <f>N57+Q57</f>
        <v>174483.58</v>
      </c>
      <c r="S57" s="51">
        <v>31965.040000000001</v>
      </c>
      <c r="T57" s="52" t="s">
        <v>45</v>
      </c>
      <c r="U57" s="51">
        <v>164621.85</v>
      </c>
      <c r="V57" s="51">
        <v>0</v>
      </c>
      <c r="W57" s="51">
        <v>0</v>
      </c>
      <c r="X57" s="51">
        <v>0</v>
      </c>
      <c r="Y57" s="19" t="s">
        <v>575</v>
      </c>
      <c r="Z57" s="19"/>
      <c r="AA57" s="28" t="s">
        <v>7108</v>
      </c>
      <c r="AB57" s="56">
        <v>43418</v>
      </c>
      <c r="AC57" s="28" t="s">
        <v>7109</v>
      </c>
      <c r="AD57" s="28" t="s">
        <v>7110</v>
      </c>
      <c r="AE57" s="54" t="s">
        <v>8298</v>
      </c>
      <c r="AF57" s="54"/>
      <c r="AG57" s="54" t="s">
        <v>1622</v>
      </c>
      <c r="AH57" s="53" t="s">
        <v>1591</v>
      </c>
      <c r="AI57" s="53" t="s">
        <v>2686</v>
      </c>
      <c r="AJ57" s="53" t="s">
        <v>1591</v>
      </c>
    </row>
    <row r="58" spans="1:36" s="3" customFormat="1" ht="48" x14ac:dyDescent="0.25">
      <c r="A58" s="17" t="s">
        <v>182</v>
      </c>
      <c r="B58" s="18" t="s">
        <v>2535</v>
      </c>
      <c r="C58" s="19" t="s">
        <v>2595</v>
      </c>
      <c r="D58" s="45" t="s">
        <v>2596</v>
      </c>
      <c r="E58" s="50" t="s">
        <v>1591</v>
      </c>
      <c r="F58" s="58" t="s">
        <v>1591</v>
      </c>
      <c r="G58" s="51"/>
      <c r="H58" s="51"/>
      <c r="I58" s="50" t="s">
        <v>1186</v>
      </c>
      <c r="J58" s="58" t="s">
        <v>2597</v>
      </c>
      <c r="K58" s="52" t="s">
        <v>241</v>
      </c>
      <c r="L58" s="59">
        <v>43000</v>
      </c>
      <c r="M58" s="60">
        <f>L58+30</f>
        <v>43030</v>
      </c>
      <c r="N58" s="51">
        <v>170527.02</v>
      </c>
      <c r="O58" s="59">
        <v>43070</v>
      </c>
      <c r="P58" s="59"/>
      <c r="Q58" s="51"/>
      <c r="R58" s="51">
        <f>N58+Q58</f>
        <v>170527.02</v>
      </c>
      <c r="S58" s="51">
        <v>0</v>
      </c>
      <c r="T58" s="52" t="s">
        <v>45</v>
      </c>
      <c r="U58" s="51">
        <v>10812.61</v>
      </c>
      <c r="V58" s="51">
        <v>0</v>
      </c>
      <c r="W58" s="51">
        <v>0</v>
      </c>
      <c r="X58" s="51">
        <v>0</v>
      </c>
      <c r="Y58" s="19" t="s">
        <v>575</v>
      </c>
      <c r="Z58" s="19"/>
      <c r="AA58" s="28" t="s">
        <v>7108</v>
      </c>
      <c r="AB58" s="56">
        <v>43418</v>
      </c>
      <c r="AC58" s="28" t="s">
        <v>7109</v>
      </c>
      <c r="AD58" s="28" t="s">
        <v>7110</v>
      </c>
      <c r="AE58" s="54"/>
      <c r="AF58" s="54"/>
      <c r="AG58" s="54" t="s">
        <v>8288</v>
      </c>
      <c r="AH58" s="53" t="s">
        <v>1591</v>
      </c>
      <c r="AI58" s="53" t="s">
        <v>2686</v>
      </c>
      <c r="AJ58" s="53" t="s">
        <v>1591</v>
      </c>
    </row>
    <row r="59" spans="1:36" s="3" customFormat="1" ht="36" x14ac:dyDescent="0.25">
      <c r="A59" s="17" t="s">
        <v>182</v>
      </c>
      <c r="B59" s="18" t="s">
        <v>2535</v>
      </c>
      <c r="C59" s="19" t="s">
        <v>2591</v>
      </c>
      <c r="D59" s="45" t="s">
        <v>2592</v>
      </c>
      <c r="E59" s="50" t="s">
        <v>1591</v>
      </c>
      <c r="F59" s="58" t="s">
        <v>1591</v>
      </c>
      <c r="G59" s="51"/>
      <c r="H59" s="51"/>
      <c r="I59" s="50" t="s">
        <v>2593</v>
      </c>
      <c r="J59" s="58" t="s">
        <v>2594</v>
      </c>
      <c r="K59" s="52" t="s">
        <v>1124</v>
      </c>
      <c r="L59" s="59">
        <v>42744</v>
      </c>
      <c r="M59" s="60">
        <v>42803</v>
      </c>
      <c r="N59" s="51">
        <v>114565.38</v>
      </c>
      <c r="O59" s="59">
        <v>43040</v>
      </c>
      <c r="P59" s="59"/>
      <c r="Q59" s="51"/>
      <c r="R59" s="51">
        <f>N59+Q59</f>
        <v>114565.38</v>
      </c>
      <c r="S59" s="51">
        <v>0</v>
      </c>
      <c r="T59" s="52" t="s">
        <v>45</v>
      </c>
      <c r="U59" s="51">
        <v>48476.73</v>
      </c>
      <c r="V59" s="51">
        <v>0</v>
      </c>
      <c r="W59" s="51">
        <v>0</v>
      </c>
      <c r="X59" s="51">
        <v>0</v>
      </c>
      <c r="Y59" s="19" t="s">
        <v>575</v>
      </c>
      <c r="Z59" s="19"/>
      <c r="AA59" s="28" t="s">
        <v>7108</v>
      </c>
      <c r="AB59" s="56">
        <v>43418</v>
      </c>
      <c r="AC59" s="28" t="s">
        <v>7109</v>
      </c>
      <c r="AD59" s="28" t="s">
        <v>7110</v>
      </c>
      <c r="AE59" s="54"/>
      <c r="AF59" s="54"/>
      <c r="AG59" s="54" t="s">
        <v>8289</v>
      </c>
      <c r="AH59" s="53" t="s">
        <v>1591</v>
      </c>
      <c r="AI59" s="53" t="s">
        <v>2686</v>
      </c>
      <c r="AJ59" s="53" t="s">
        <v>1591</v>
      </c>
    </row>
    <row r="60" spans="1:36" s="3" customFormat="1" ht="36" x14ac:dyDescent="0.25">
      <c r="A60" s="17" t="s">
        <v>182</v>
      </c>
      <c r="B60" s="18" t="s">
        <v>2535</v>
      </c>
      <c r="C60" s="76" t="s">
        <v>5953</v>
      </c>
      <c r="D60" s="45" t="s">
        <v>5954</v>
      </c>
      <c r="E60" s="78"/>
      <c r="F60" s="79"/>
      <c r="G60" s="80"/>
      <c r="H60" s="80"/>
      <c r="I60" s="78" t="s">
        <v>2588</v>
      </c>
      <c r="J60" s="79" t="s">
        <v>5955</v>
      </c>
      <c r="K60" s="81" t="s">
        <v>240</v>
      </c>
      <c r="L60" s="82">
        <v>42670</v>
      </c>
      <c r="M60" s="83">
        <v>42730</v>
      </c>
      <c r="N60" s="80">
        <v>25459.49</v>
      </c>
      <c r="O60" s="82">
        <v>43009</v>
      </c>
      <c r="P60" s="84"/>
      <c r="Q60" s="80">
        <v>0</v>
      </c>
      <c r="R60" s="80">
        <v>25459.49</v>
      </c>
      <c r="S60" s="80"/>
      <c r="T60" s="81" t="s">
        <v>45</v>
      </c>
      <c r="U60" s="80"/>
      <c r="V60" s="80"/>
      <c r="W60" s="80"/>
      <c r="X60" s="80"/>
      <c r="Y60" s="76" t="s">
        <v>2578</v>
      </c>
      <c r="Z60" s="19" t="s">
        <v>7038</v>
      </c>
      <c r="AA60" s="28" t="s">
        <v>7108</v>
      </c>
      <c r="AB60" s="56">
        <v>43418</v>
      </c>
      <c r="AC60" s="28" t="s">
        <v>7109</v>
      </c>
      <c r="AD60" s="28" t="s">
        <v>7110</v>
      </c>
      <c r="AE60" s="54"/>
      <c r="AF60" s="54"/>
      <c r="AG60" s="54" t="s">
        <v>8290</v>
      </c>
      <c r="AH60" s="53" t="s">
        <v>1591</v>
      </c>
      <c r="AI60" s="53" t="s">
        <v>2686</v>
      </c>
      <c r="AJ60" s="53" t="s">
        <v>1591</v>
      </c>
    </row>
    <row r="61" spans="1:36" s="3" customFormat="1" ht="60" x14ac:dyDescent="0.25">
      <c r="A61" s="35" t="s">
        <v>182</v>
      </c>
      <c r="B61" s="18" t="s">
        <v>2307</v>
      </c>
      <c r="C61" s="76"/>
      <c r="D61" s="43" t="s">
        <v>5957</v>
      </c>
      <c r="E61" s="78"/>
      <c r="F61" s="36" t="s">
        <v>2603</v>
      </c>
      <c r="G61" s="80"/>
      <c r="H61" s="80"/>
      <c r="I61" s="36" t="s">
        <v>5958</v>
      </c>
      <c r="J61" s="34" t="s">
        <v>5959</v>
      </c>
      <c r="K61" s="37" t="s">
        <v>5960</v>
      </c>
      <c r="L61" s="38">
        <v>41557</v>
      </c>
      <c r="M61" s="39">
        <v>42157</v>
      </c>
      <c r="N61" s="42">
        <v>114373522.23999999</v>
      </c>
      <c r="O61" s="85">
        <v>42048</v>
      </c>
      <c r="P61" s="86">
        <v>42157</v>
      </c>
      <c r="Q61" s="41">
        <v>0</v>
      </c>
      <c r="R61" s="41">
        <v>114373522.23999999</v>
      </c>
      <c r="S61" s="80"/>
      <c r="T61" s="81"/>
      <c r="U61" s="80"/>
      <c r="V61" s="80"/>
      <c r="W61" s="42"/>
      <c r="X61" s="42">
        <v>22917058.469999999</v>
      </c>
      <c r="Y61" s="34" t="s">
        <v>4321</v>
      </c>
      <c r="Z61" s="19" t="s">
        <v>7038</v>
      </c>
      <c r="AA61" s="28" t="s">
        <v>7114</v>
      </c>
      <c r="AB61" s="56">
        <v>43423</v>
      </c>
      <c r="AC61" s="28" t="s">
        <v>7115</v>
      </c>
      <c r="AD61" s="28" t="s">
        <v>7116</v>
      </c>
      <c r="AE61" s="54" t="s">
        <v>7117</v>
      </c>
      <c r="AF61" s="54"/>
      <c r="AG61" s="54" t="s">
        <v>7118</v>
      </c>
      <c r="AH61" s="53" t="s">
        <v>1591</v>
      </c>
      <c r="AI61" s="53" t="s">
        <v>2686</v>
      </c>
      <c r="AJ61" s="53" t="s">
        <v>1591</v>
      </c>
    </row>
    <row r="62" spans="1:36" s="3" customFormat="1" ht="72" x14ac:dyDescent="0.25">
      <c r="A62" s="17" t="s">
        <v>182</v>
      </c>
      <c r="B62" s="18" t="s">
        <v>2307</v>
      </c>
      <c r="C62" s="19" t="s">
        <v>2632</v>
      </c>
      <c r="D62" s="45" t="s">
        <v>2633</v>
      </c>
      <c r="E62" s="50"/>
      <c r="F62" s="58"/>
      <c r="G62" s="51"/>
      <c r="H62" s="51"/>
      <c r="I62" s="50" t="s">
        <v>2627</v>
      </c>
      <c r="J62" s="58" t="s">
        <v>2634</v>
      </c>
      <c r="K62" s="52" t="s">
        <v>4169</v>
      </c>
      <c r="L62" s="59">
        <v>41736</v>
      </c>
      <c r="M62" s="60">
        <f>L62+1080</f>
        <v>42816</v>
      </c>
      <c r="N62" s="51">
        <v>69577501.939999998</v>
      </c>
      <c r="O62" s="59"/>
      <c r="P62" s="59">
        <f>M62+602</f>
        <v>43418</v>
      </c>
      <c r="Q62" s="51">
        <v>1474362.63</v>
      </c>
      <c r="R62" s="51">
        <f>N62+Q62</f>
        <v>71051864.569999993</v>
      </c>
      <c r="S62" s="51">
        <v>11664919.57</v>
      </c>
      <c r="T62" s="52"/>
      <c r="U62" s="51">
        <v>8397234.4499999993</v>
      </c>
      <c r="V62" s="51"/>
      <c r="W62" s="51"/>
      <c r="X62" s="51"/>
      <c r="Y62" s="19"/>
      <c r="Z62" s="19"/>
      <c r="AA62" s="28" t="s">
        <v>7114</v>
      </c>
      <c r="AB62" s="56">
        <v>43423</v>
      </c>
      <c r="AC62" s="28" t="s">
        <v>7115</v>
      </c>
      <c r="AD62" s="28" t="s">
        <v>7116</v>
      </c>
      <c r="AE62" s="54" t="s">
        <v>7119</v>
      </c>
      <c r="AF62" s="54"/>
      <c r="AG62" s="54" t="s">
        <v>5349</v>
      </c>
      <c r="AH62" s="53" t="s">
        <v>1591</v>
      </c>
      <c r="AI62" s="53" t="s">
        <v>2686</v>
      </c>
      <c r="AJ62" s="53" t="s">
        <v>1591</v>
      </c>
    </row>
    <row r="63" spans="1:36" s="3" customFormat="1" ht="156" x14ac:dyDescent="0.25">
      <c r="A63" s="35" t="s">
        <v>182</v>
      </c>
      <c r="B63" s="18" t="s">
        <v>2307</v>
      </c>
      <c r="C63" s="76"/>
      <c r="D63" s="43" t="s">
        <v>5962</v>
      </c>
      <c r="E63" s="78"/>
      <c r="F63" s="36"/>
      <c r="G63" s="80"/>
      <c r="H63" s="80"/>
      <c r="I63" s="36" t="s">
        <v>5963</v>
      </c>
      <c r="J63" s="34" t="s">
        <v>5964</v>
      </c>
      <c r="K63" s="37" t="s">
        <v>5965</v>
      </c>
      <c r="L63" s="38">
        <v>41478</v>
      </c>
      <c r="M63" s="39">
        <v>42558</v>
      </c>
      <c r="N63" s="42">
        <v>33852013.939999998</v>
      </c>
      <c r="O63" s="85"/>
      <c r="P63" s="86">
        <v>42558</v>
      </c>
      <c r="Q63" s="41">
        <v>0</v>
      </c>
      <c r="R63" s="41">
        <v>33852013.939999998</v>
      </c>
      <c r="S63" s="80"/>
      <c r="T63" s="81"/>
      <c r="U63" s="80"/>
      <c r="V63" s="80"/>
      <c r="W63" s="42"/>
      <c r="X63" s="42">
        <v>127943.76</v>
      </c>
      <c r="Y63" s="34" t="s">
        <v>4321</v>
      </c>
      <c r="Z63" s="19" t="s">
        <v>7038</v>
      </c>
      <c r="AA63" s="28" t="s">
        <v>7114</v>
      </c>
      <c r="AB63" s="56">
        <v>43423</v>
      </c>
      <c r="AC63" s="28" t="s">
        <v>7115</v>
      </c>
      <c r="AD63" s="28" t="s">
        <v>7116</v>
      </c>
      <c r="AE63" s="54" t="s">
        <v>7121</v>
      </c>
      <c r="AF63" s="54"/>
      <c r="AG63" s="54" t="s">
        <v>7122</v>
      </c>
      <c r="AH63" s="53" t="s">
        <v>1591</v>
      </c>
      <c r="AI63" s="53" t="s">
        <v>2686</v>
      </c>
      <c r="AJ63" s="53" t="s">
        <v>1591</v>
      </c>
    </row>
    <row r="64" spans="1:36" s="3" customFormat="1" ht="72" x14ac:dyDescent="0.25">
      <c r="A64" s="17" t="s">
        <v>182</v>
      </c>
      <c r="B64" s="18" t="s">
        <v>2307</v>
      </c>
      <c r="C64" s="19" t="s">
        <v>2616</v>
      </c>
      <c r="D64" s="45" t="s">
        <v>4025</v>
      </c>
      <c r="E64" s="50" t="s">
        <v>4177</v>
      </c>
      <c r="F64" s="58" t="s">
        <v>2603</v>
      </c>
      <c r="G64" s="51">
        <v>24140589.109999999</v>
      </c>
      <c r="H64" s="51">
        <v>9424328.0500000007</v>
      </c>
      <c r="I64" s="50" t="s">
        <v>2617</v>
      </c>
      <c r="J64" s="58" t="s">
        <v>2629</v>
      </c>
      <c r="K64" s="52" t="s">
        <v>4178</v>
      </c>
      <c r="L64" s="59">
        <v>42186</v>
      </c>
      <c r="M64" s="60">
        <f>L64+540</f>
        <v>42726</v>
      </c>
      <c r="N64" s="51">
        <v>19699998.66</v>
      </c>
      <c r="O64" s="59" t="s">
        <v>46</v>
      </c>
      <c r="P64" s="59">
        <f>M64+450</f>
        <v>43176</v>
      </c>
      <c r="Q64" s="51">
        <v>-38729.25</v>
      </c>
      <c r="R64" s="51">
        <f>N64+Q64</f>
        <v>19661269.41</v>
      </c>
      <c r="S64" s="51">
        <v>2439599.62</v>
      </c>
      <c r="T64" s="52"/>
      <c r="U64" s="51">
        <v>5818836.5899999999</v>
      </c>
      <c r="V64" s="51"/>
      <c r="W64" s="51"/>
      <c r="X64" s="51"/>
      <c r="Y64" s="19" t="s">
        <v>175</v>
      </c>
      <c r="Z64" s="19"/>
      <c r="AA64" s="28" t="s">
        <v>7114</v>
      </c>
      <c r="AB64" s="56">
        <v>43423</v>
      </c>
      <c r="AC64" s="28" t="s">
        <v>7115</v>
      </c>
      <c r="AD64" s="28" t="s">
        <v>7116</v>
      </c>
      <c r="AE64" s="54" t="s">
        <v>7123</v>
      </c>
      <c r="AF64" s="54"/>
      <c r="AG64" s="54" t="s">
        <v>7124</v>
      </c>
      <c r="AH64" s="53" t="s">
        <v>1591</v>
      </c>
      <c r="AI64" s="53" t="s">
        <v>2686</v>
      </c>
      <c r="AJ64" s="53" t="s">
        <v>1591</v>
      </c>
    </row>
    <row r="65" spans="1:36" s="3" customFormat="1" ht="72" x14ac:dyDescent="0.25">
      <c r="A65" s="17" t="s">
        <v>182</v>
      </c>
      <c r="B65" s="18" t="s">
        <v>2307</v>
      </c>
      <c r="C65" s="76" t="s">
        <v>5968</v>
      </c>
      <c r="D65" s="45" t="s">
        <v>5969</v>
      </c>
      <c r="E65" s="78"/>
      <c r="F65" s="79"/>
      <c r="G65" s="80"/>
      <c r="H65" s="80"/>
      <c r="I65" s="78" t="s">
        <v>5970</v>
      </c>
      <c r="J65" s="79" t="s">
        <v>5971</v>
      </c>
      <c r="K65" s="81" t="s">
        <v>5972</v>
      </c>
      <c r="L65" s="82">
        <v>41276</v>
      </c>
      <c r="M65" s="83" t="s">
        <v>5061</v>
      </c>
      <c r="N65" s="80">
        <v>21842051.52</v>
      </c>
      <c r="O65" s="82" t="s">
        <v>186</v>
      </c>
      <c r="P65" s="84" t="s">
        <v>5973</v>
      </c>
      <c r="Q65" s="80">
        <v>-3352350.9699999988</v>
      </c>
      <c r="R65" s="80">
        <v>18489700.550000001</v>
      </c>
      <c r="S65" s="80">
        <v>1327701.2</v>
      </c>
      <c r="T65" s="81"/>
      <c r="U65" s="80">
        <v>573761.47</v>
      </c>
      <c r="V65" s="80"/>
      <c r="W65" s="80"/>
      <c r="X65" s="80">
        <v>644259.68999999994</v>
      </c>
      <c r="Y65" s="76" t="s">
        <v>186</v>
      </c>
      <c r="Z65" s="19" t="s">
        <v>7038</v>
      </c>
      <c r="AA65" s="28" t="s">
        <v>7114</v>
      </c>
      <c r="AB65" s="56">
        <v>43423</v>
      </c>
      <c r="AC65" s="28" t="s">
        <v>7115</v>
      </c>
      <c r="AD65" s="28" t="s">
        <v>7116</v>
      </c>
      <c r="AE65" s="54" t="s">
        <v>7123</v>
      </c>
      <c r="AF65" s="54"/>
      <c r="AG65" s="54" t="s">
        <v>7125</v>
      </c>
      <c r="AH65" s="53" t="s">
        <v>1591</v>
      </c>
      <c r="AI65" s="53" t="s">
        <v>2686</v>
      </c>
      <c r="AJ65" s="53" t="s">
        <v>1591</v>
      </c>
    </row>
    <row r="66" spans="1:36" s="3" customFormat="1" ht="36" x14ac:dyDescent="0.25">
      <c r="A66" s="17" t="s">
        <v>182</v>
      </c>
      <c r="B66" s="18" t="s">
        <v>2307</v>
      </c>
      <c r="C66" s="76" t="s">
        <v>5974</v>
      </c>
      <c r="D66" s="45" t="s">
        <v>5975</v>
      </c>
      <c r="E66" s="78" t="s">
        <v>5976</v>
      </c>
      <c r="F66" s="79" t="s">
        <v>2603</v>
      </c>
      <c r="G66" s="80">
        <v>19107595.050000001</v>
      </c>
      <c r="H66" s="80">
        <v>1997785</v>
      </c>
      <c r="I66" s="78" t="s">
        <v>5977</v>
      </c>
      <c r="J66" s="79" t="s">
        <v>5978</v>
      </c>
      <c r="K66" s="81" t="s">
        <v>5979</v>
      </c>
      <c r="L66" s="82">
        <v>42325</v>
      </c>
      <c r="M66" s="83" t="s">
        <v>5980</v>
      </c>
      <c r="N66" s="80">
        <v>18230727.43</v>
      </c>
      <c r="O66" s="82"/>
      <c r="P66" s="84"/>
      <c r="Q66" s="80">
        <v>0</v>
      </c>
      <c r="R66" s="80">
        <v>18230727.43</v>
      </c>
      <c r="S66" s="80" t="s">
        <v>5866</v>
      </c>
      <c r="T66" s="81" t="s">
        <v>52</v>
      </c>
      <c r="U66" s="80">
        <v>923890.03</v>
      </c>
      <c r="V66" s="80"/>
      <c r="W66" s="80"/>
      <c r="X66" s="80">
        <v>1184479.3600000001</v>
      </c>
      <c r="Y66" s="76" t="s">
        <v>175</v>
      </c>
      <c r="Z66" s="19" t="s">
        <v>7038</v>
      </c>
      <c r="AA66" s="28" t="s">
        <v>7114</v>
      </c>
      <c r="AB66" s="56">
        <v>43423</v>
      </c>
      <c r="AC66" s="28" t="s">
        <v>7115</v>
      </c>
      <c r="AD66" s="28" t="s">
        <v>7116</v>
      </c>
      <c r="AE66" s="54" t="s">
        <v>7126</v>
      </c>
      <c r="AF66" s="54"/>
      <c r="AG66" s="54" t="s">
        <v>7127</v>
      </c>
      <c r="AH66" s="53" t="s">
        <v>1591</v>
      </c>
      <c r="AI66" s="53" t="s">
        <v>2686</v>
      </c>
      <c r="AJ66" s="53" t="s">
        <v>1591</v>
      </c>
    </row>
    <row r="67" spans="1:36" s="3" customFormat="1" ht="72" x14ac:dyDescent="0.25">
      <c r="A67" s="35" t="s">
        <v>182</v>
      </c>
      <c r="B67" s="18" t="s">
        <v>2307</v>
      </c>
      <c r="C67" s="76"/>
      <c r="D67" s="43" t="s">
        <v>5985</v>
      </c>
      <c r="E67" s="78"/>
      <c r="F67" s="36" t="s">
        <v>2431</v>
      </c>
      <c r="G67" s="80"/>
      <c r="H67" s="80"/>
      <c r="I67" s="36" t="s">
        <v>2586</v>
      </c>
      <c r="J67" s="34" t="s">
        <v>5961</v>
      </c>
      <c r="K67" s="37" t="s">
        <v>5986</v>
      </c>
      <c r="L67" s="38">
        <v>41684</v>
      </c>
      <c r="M67" s="39">
        <v>42044</v>
      </c>
      <c r="N67" s="42">
        <v>15607387.9</v>
      </c>
      <c r="O67" s="85">
        <v>42050</v>
      </c>
      <c r="P67" s="86">
        <v>42353</v>
      </c>
      <c r="Q67" s="41">
        <v>1668535.97</v>
      </c>
      <c r="R67" s="41">
        <v>17275923.870000001</v>
      </c>
      <c r="S67" s="80"/>
      <c r="T67" s="81"/>
      <c r="U67" s="80"/>
      <c r="V67" s="80"/>
      <c r="W67" s="42"/>
      <c r="X67" s="42">
        <v>7991948.6900000004</v>
      </c>
      <c r="Y67" s="34" t="s">
        <v>4321</v>
      </c>
      <c r="Z67" s="19" t="s">
        <v>7038</v>
      </c>
      <c r="AA67" s="28" t="s">
        <v>7114</v>
      </c>
      <c r="AB67" s="56">
        <v>43423</v>
      </c>
      <c r="AC67" s="28" t="s">
        <v>7115</v>
      </c>
      <c r="AD67" s="28" t="s">
        <v>7116</v>
      </c>
      <c r="AE67" s="54" t="s">
        <v>7128</v>
      </c>
      <c r="AF67" s="54"/>
      <c r="AG67" s="54" t="s">
        <v>7129</v>
      </c>
      <c r="AH67" s="53" t="s">
        <v>1591</v>
      </c>
      <c r="AI67" s="53" t="s">
        <v>2686</v>
      </c>
      <c r="AJ67" s="53" t="s">
        <v>1591</v>
      </c>
    </row>
    <row r="68" spans="1:36" s="3" customFormat="1" ht="48" x14ac:dyDescent="0.25">
      <c r="A68" s="17" t="s">
        <v>182</v>
      </c>
      <c r="B68" s="18" t="s">
        <v>2307</v>
      </c>
      <c r="C68" s="19" t="s">
        <v>2614</v>
      </c>
      <c r="D68" s="45" t="s">
        <v>4024</v>
      </c>
      <c r="E68" s="50" t="s">
        <v>4175</v>
      </c>
      <c r="F68" s="58" t="s">
        <v>2603</v>
      </c>
      <c r="G68" s="51">
        <v>16000000</v>
      </c>
      <c r="H68" s="51">
        <v>842105.42</v>
      </c>
      <c r="I68" s="50" t="s">
        <v>2615</v>
      </c>
      <c r="J68" s="58" t="s">
        <v>2630</v>
      </c>
      <c r="K68" s="52" t="s">
        <v>4176</v>
      </c>
      <c r="L68" s="59">
        <v>41439</v>
      </c>
      <c r="M68" s="60">
        <f>L68+720</f>
        <v>42159</v>
      </c>
      <c r="N68" s="51">
        <v>14144526.640000001</v>
      </c>
      <c r="O68" s="59">
        <v>43115</v>
      </c>
      <c r="P68" s="59">
        <f>M68+956</f>
        <v>43115</v>
      </c>
      <c r="Q68" s="51">
        <v>2915887.03</v>
      </c>
      <c r="R68" s="51">
        <f>N68+Q68</f>
        <v>17060413.670000002</v>
      </c>
      <c r="S68" s="51">
        <v>1920406.82</v>
      </c>
      <c r="T68" s="52"/>
      <c r="U68" s="51">
        <v>281386.69</v>
      </c>
      <c r="V68" s="51"/>
      <c r="W68" s="51"/>
      <c r="X68" s="51"/>
      <c r="Y68" s="19" t="s">
        <v>149</v>
      </c>
      <c r="Z68" s="19"/>
      <c r="AA68" s="28" t="s">
        <v>7114</v>
      </c>
      <c r="AB68" s="56">
        <v>43423</v>
      </c>
      <c r="AC68" s="28" t="s">
        <v>7115</v>
      </c>
      <c r="AD68" s="28" t="s">
        <v>7116</v>
      </c>
      <c r="AE68" s="54" t="s">
        <v>7130</v>
      </c>
      <c r="AF68" s="54"/>
      <c r="AG68" s="54" t="s">
        <v>7131</v>
      </c>
      <c r="AH68" s="53" t="s">
        <v>1591</v>
      </c>
      <c r="AI68" s="53" t="s">
        <v>2686</v>
      </c>
      <c r="AJ68" s="53" t="s">
        <v>1591</v>
      </c>
    </row>
    <row r="69" spans="1:36" s="3" customFormat="1" ht="60" x14ac:dyDescent="0.25">
      <c r="A69" s="35" t="s">
        <v>182</v>
      </c>
      <c r="B69" s="18" t="s">
        <v>2307</v>
      </c>
      <c r="C69" s="76"/>
      <c r="D69" s="43" t="s">
        <v>5988</v>
      </c>
      <c r="E69" s="78"/>
      <c r="F69" s="36" t="s">
        <v>2603</v>
      </c>
      <c r="G69" s="80"/>
      <c r="H69" s="80"/>
      <c r="I69" s="36" t="s">
        <v>5977</v>
      </c>
      <c r="J69" s="34" t="s">
        <v>5989</v>
      </c>
      <c r="K69" s="37" t="s">
        <v>5990</v>
      </c>
      <c r="L69" s="38">
        <v>41841</v>
      </c>
      <c r="M69" s="39">
        <v>42201</v>
      </c>
      <c r="N69" s="42">
        <v>14985867.439999999</v>
      </c>
      <c r="O69" s="85"/>
      <c r="P69" s="86">
        <v>42561</v>
      </c>
      <c r="Q69" s="41">
        <v>-225976.06</v>
      </c>
      <c r="R69" s="41">
        <v>14759891.379999999</v>
      </c>
      <c r="S69" s="80"/>
      <c r="T69" s="81"/>
      <c r="U69" s="80"/>
      <c r="V69" s="80"/>
      <c r="W69" s="42"/>
      <c r="X69" s="42">
        <v>1461730.49</v>
      </c>
      <c r="Y69" s="34" t="s">
        <v>4321</v>
      </c>
      <c r="Z69" s="19" t="s">
        <v>7038</v>
      </c>
      <c r="AA69" s="28" t="s">
        <v>7114</v>
      </c>
      <c r="AB69" s="56">
        <v>43423</v>
      </c>
      <c r="AC69" s="28" t="s">
        <v>7115</v>
      </c>
      <c r="AD69" s="28" t="s">
        <v>7116</v>
      </c>
      <c r="AE69" s="54" t="s">
        <v>7120</v>
      </c>
      <c r="AF69" s="54"/>
      <c r="AG69" s="54" t="s">
        <v>7132</v>
      </c>
      <c r="AH69" s="53" t="s">
        <v>1591</v>
      </c>
      <c r="AI69" s="53" t="s">
        <v>2686</v>
      </c>
      <c r="AJ69" s="53" t="s">
        <v>1591</v>
      </c>
    </row>
    <row r="70" spans="1:36" s="3" customFormat="1" ht="72" x14ac:dyDescent="0.25">
      <c r="A70" s="17" t="s">
        <v>182</v>
      </c>
      <c r="B70" s="18" t="s">
        <v>2307</v>
      </c>
      <c r="C70" s="76" t="s">
        <v>5991</v>
      </c>
      <c r="D70" s="45" t="s">
        <v>5992</v>
      </c>
      <c r="E70" s="78" t="s">
        <v>5993</v>
      </c>
      <c r="F70" s="79" t="s">
        <v>5994</v>
      </c>
      <c r="G70" s="80">
        <v>328700001.30000001</v>
      </c>
      <c r="H70" s="80">
        <v>1299998.7</v>
      </c>
      <c r="I70" s="78" t="s">
        <v>2604</v>
      </c>
      <c r="J70" s="79" t="s">
        <v>2628</v>
      </c>
      <c r="K70" s="81" t="s">
        <v>5995</v>
      </c>
      <c r="L70" s="82">
        <v>42144</v>
      </c>
      <c r="M70" s="83" t="s">
        <v>5060</v>
      </c>
      <c r="N70" s="80">
        <v>10782230.49</v>
      </c>
      <c r="O70" s="82"/>
      <c r="P70" s="84" t="s">
        <v>5996</v>
      </c>
      <c r="Q70" s="80">
        <v>2972752.09</v>
      </c>
      <c r="R70" s="80">
        <v>13754982.58</v>
      </c>
      <c r="S70" s="80">
        <v>961362.99</v>
      </c>
      <c r="T70" s="81"/>
      <c r="U70" s="80">
        <v>8999621.25</v>
      </c>
      <c r="V70" s="80"/>
      <c r="W70" s="80"/>
      <c r="X70" s="80"/>
      <c r="Y70" s="76" t="s">
        <v>186</v>
      </c>
      <c r="Z70" s="19" t="s">
        <v>7038</v>
      </c>
      <c r="AA70" s="28" t="s">
        <v>7114</v>
      </c>
      <c r="AB70" s="56">
        <v>43423</v>
      </c>
      <c r="AC70" s="28" t="s">
        <v>7115</v>
      </c>
      <c r="AD70" s="28" t="s">
        <v>7116</v>
      </c>
      <c r="AE70" s="54" t="s">
        <v>7123</v>
      </c>
      <c r="AF70" s="54"/>
      <c r="AG70" s="54" t="s">
        <v>885</v>
      </c>
      <c r="AH70" s="53" t="s">
        <v>1591</v>
      </c>
      <c r="AI70" s="53" t="s">
        <v>2686</v>
      </c>
      <c r="AJ70" s="53" t="s">
        <v>1591</v>
      </c>
    </row>
    <row r="71" spans="1:36" s="3" customFormat="1" ht="72" x14ac:dyDescent="0.25">
      <c r="A71" s="17" t="s">
        <v>182</v>
      </c>
      <c r="B71" s="18" t="s">
        <v>2307</v>
      </c>
      <c r="C71" s="76" t="s">
        <v>5997</v>
      </c>
      <c r="D71" s="45" t="s">
        <v>5998</v>
      </c>
      <c r="E71" s="78" t="s">
        <v>5956</v>
      </c>
      <c r="F71" s="79" t="s">
        <v>1586</v>
      </c>
      <c r="G71" s="80">
        <v>1246763000</v>
      </c>
      <c r="H71" s="80">
        <v>138592223</v>
      </c>
      <c r="I71" s="78" t="s">
        <v>2617</v>
      </c>
      <c r="J71" s="79" t="s">
        <v>2629</v>
      </c>
      <c r="K71" s="81" t="s">
        <v>5999</v>
      </c>
      <c r="L71" s="82">
        <v>42619</v>
      </c>
      <c r="M71" s="83" t="s">
        <v>6000</v>
      </c>
      <c r="N71" s="80">
        <v>11700080</v>
      </c>
      <c r="O71" s="82"/>
      <c r="P71" s="84">
        <v>0</v>
      </c>
      <c r="Q71" s="80">
        <v>0</v>
      </c>
      <c r="R71" s="80">
        <v>11700080</v>
      </c>
      <c r="S71" s="80" t="s">
        <v>5866</v>
      </c>
      <c r="T71" s="81"/>
      <c r="U71" s="80">
        <v>1767075.96</v>
      </c>
      <c r="V71" s="80"/>
      <c r="W71" s="80"/>
      <c r="X71" s="80">
        <v>1280662.53</v>
      </c>
      <c r="Y71" s="76" t="s">
        <v>186</v>
      </c>
      <c r="Z71" s="19" t="s">
        <v>7038</v>
      </c>
      <c r="AA71" s="28" t="s">
        <v>7114</v>
      </c>
      <c r="AB71" s="56">
        <v>43423</v>
      </c>
      <c r="AC71" s="28" t="s">
        <v>7115</v>
      </c>
      <c r="AD71" s="28" t="s">
        <v>7116</v>
      </c>
      <c r="AE71" s="54" t="s">
        <v>7123</v>
      </c>
      <c r="AF71" s="54"/>
      <c r="AG71" s="54" t="s">
        <v>885</v>
      </c>
      <c r="AH71" s="53" t="s">
        <v>1591</v>
      </c>
      <c r="AI71" s="53" t="s">
        <v>2686</v>
      </c>
      <c r="AJ71" s="53" t="s">
        <v>1591</v>
      </c>
    </row>
    <row r="72" spans="1:36" s="3" customFormat="1" ht="48" x14ac:dyDescent="0.25">
      <c r="A72" s="17" t="s">
        <v>182</v>
      </c>
      <c r="B72" s="18" t="s">
        <v>2307</v>
      </c>
      <c r="C72" s="19" t="s">
        <v>4028</v>
      </c>
      <c r="D72" s="45" t="s">
        <v>4029</v>
      </c>
      <c r="E72" s="50" t="s">
        <v>4181</v>
      </c>
      <c r="F72" s="58" t="s">
        <v>2603</v>
      </c>
      <c r="G72" s="51">
        <v>8562401.1500000004</v>
      </c>
      <c r="H72" s="51">
        <v>1491394.26</v>
      </c>
      <c r="I72" s="50" t="s">
        <v>2615</v>
      </c>
      <c r="J72" s="58" t="s">
        <v>2630</v>
      </c>
      <c r="K72" s="52" t="s">
        <v>4182</v>
      </c>
      <c r="L72" s="59">
        <v>42877</v>
      </c>
      <c r="M72" s="60">
        <f>L72+540</f>
        <v>43417</v>
      </c>
      <c r="N72" s="51">
        <v>9479401.3599999994</v>
      </c>
      <c r="O72" s="59" t="s">
        <v>46</v>
      </c>
      <c r="P72" s="59">
        <v>0</v>
      </c>
      <c r="Q72" s="51">
        <v>-24816.02</v>
      </c>
      <c r="R72" s="51">
        <f>N72+Q72</f>
        <v>9454585.3399999999</v>
      </c>
      <c r="S72" s="51">
        <v>489136.91</v>
      </c>
      <c r="T72" s="52"/>
      <c r="U72" s="51">
        <v>2712318.74</v>
      </c>
      <c r="V72" s="51"/>
      <c r="W72" s="51"/>
      <c r="X72" s="51"/>
      <c r="Y72" s="19" t="s">
        <v>175</v>
      </c>
      <c r="Z72" s="19"/>
      <c r="AA72" s="28" t="s">
        <v>7114</v>
      </c>
      <c r="AB72" s="56">
        <v>43423</v>
      </c>
      <c r="AC72" s="28" t="s">
        <v>7115</v>
      </c>
      <c r="AD72" s="28" t="s">
        <v>7116</v>
      </c>
      <c r="AE72" s="54" t="s">
        <v>7130</v>
      </c>
      <c r="AF72" s="54"/>
      <c r="AG72" s="54" t="s">
        <v>7133</v>
      </c>
      <c r="AH72" s="53" t="s">
        <v>1591</v>
      </c>
      <c r="AI72" s="53" t="s">
        <v>2686</v>
      </c>
      <c r="AJ72" s="53" t="s">
        <v>1591</v>
      </c>
    </row>
    <row r="73" spans="1:36" s="3" customFormat="1" ht="48" x14ac:dyDescent="0.25">
      <c r="A73" s="17" t="s">
        <v>182</v>
      </c>
      <c r="B73" s="18" t="s">
        <v>2307</v>
      </c>
      <c r="C73" s="19" t="s">
        <v>2610</v>
      </c>
      <c r="D73" s="45" t="s">
        <v>4020</v>
      </c>
      <c r="E73" s="50" t="s">
        <v>2611</v>
      </c>
      <c r="F73" s="58" t="s">
        <v>2603</v>
      </c>
      <c r="G73" s="51">
        <v>9329852.4600000009</v>
      </c>
      <c r="H73" s="51">
        <v>0</v>
      </c>
      <c r="I73" s="50" t="s">
        <v>543</v>
      </c>
      <c r="J73" s="58" t="s">
        <v>2920</v>
      </c>
      <c r="K73" s="52" t="s">
        <v>4172</v>
      </c>
      <c r="L73" s="59">
        <v>42124</v>
      </c>
      <c r="M73" s="60">
        <f>L73+540</f>
        <v>42664</v>
      </c>
      <c r="N73" s="51">
        <v>8844206</v>
      </c>
      <c r="O73" s="59" t="s">
        <v>46</v>
      </c>
      <c r="P73" s="59">
        <f>M73+840</f>
        <v>43504</v>
      </c>
      <c r="Q73" s="51">
        <v>-7707.7</v>
      </c>
      <c r="R73" s="51">
        <f>N73+Q73</f>
        <v>8836498.3000000007</v>
      </c>
      <c r="S73" s="51">
        <v>609686.80000000005</v>
      </c>
      <c r="T73" s="52"/>
      <c r="U73" s="51">
        <v>2935830.17</v>
      </c>
      <c r="V73" s="51"/>
      <c r="W73" s="51"/>
      <c r="X73" s="51"/>
      <c r="Y73" s="19" t="s">
        <v>175</v>
      </c>
      <c r="Z73" s="19"/>
      <c r="AA73" s="28" t="s">
        <v>7114</v>
      </c>
      <c r="AB73" s="56">
        <v>43423</v>
      </c>
      <c r="AC73" s="28" t="s">
        <v>7115</v>
      </c>
      <c r="AD73" s="28" t="s">
        <v>7116</v>
      </c>
      <c r="AE73" s="54" t="s">
        <v>7130</v>
      </c>
      <c r="AF73" s="54"/>
      <c r="AG73" s="54" t="s">
        <v>7133</v>
      </c>
      <c r="AH73" s="53" t="s">
        <v>1591</v>
      </c>
      <c r="AI73" s="53" t="s">
        <v>2686</v>
      </c>
      <c r="AJ73" s="53" t="s">
        <v>1591</v>
      </c>
    </row>
    <row r="74" spans="1:36" s="3" customFormat="1" ht="72" x14ac:dyDescent="0.25">
      <c r="A74" s="17" t="s">
        <v>182</v>
      </c>
      <c r="B74" s="18" t="s">
        <v>2307</v>
      </c>
      <c r="C74" s="19" t="s">
        <v>2601</v>
      </c>
      <c r="D74" s="45" t="s">
        <v>4012</v>
      </c>
      <c r="E74" s="50" t="s">
        <v>2602</v>
      </c>
      <c r="F74" s="58" t="s">
        <v>2603</v>
      </c>
      <c r="G74" s="51">
        <v>8877563.9100000001</v>
      </c>
      <c r="H74" s="51">
        <v>1072882.8400000001</v>
      </c>
      <c r="I74" s="50" t="s">
        <v>2604</v>
      </c>
      <c r="J74" s="58" t="s">
        <v>2628</v>
      </c>
      <c r="K74" s="52" t="s">
        <v>4163</v>
      </c>
      <c r="L74" s="59">
        <v>42065</v>
      </c>
      <c r="M74" s="60">
        <f>L74+540</f>
        <v>42605</v>
      </c>
      <c r="N74" s="51">
        <v>10146211.060000001</v>
      </c>
      <c r="O74" s="59">
        <v>43115</v>
      </c>
      <c r="P74" s="59">
        <f>M74+510</f>
        <v>43115</v>
      </c>
      <c r="Q74" s="51">
        <v>-2660607.33</v>
      </c>
      <c r="R74" s="51">
        <f>N74+Q74</f>
        <v>7485603.7300000004</v>
      </c>
      <c r="S74" s="51">
        <v>1299712.8600000001</v>
      </c>
      <c r="T74" s="52"/>
      <c r="U74" s="51">
        <v>4553988</v>
      </c>
      <c r="V74" s="51"/>
      <c r="W74" s="51"/>
      <c r="X74" s="51"/>
      <c r="Y74" s="19" t="s">
        <v>149</v>
      </c>
      <c r="Z74" s="19"/>
      <c r="AA74" s="28" t="s">
        <v>7114</v>
      </c>
      <c r="AB74" s="56">
        <v>43423</v>
      </c>
      <c r="AC74" s="28" t="s">
        <v>7115</v>
      </c>
      <c r="AD74" s="28" t="s">
        <v>7116</v>
      </c>
      <c r="AE74" s="54" t="s">
        <v>7123</v>
      </c>
      <c r="AF74" s="54"/>
      <c r="AG74" s="54" t="s">
        <v>7125</v>
      </c>
      <c r="AH74" s="53" t="s">
        <v>1591</v>
      </c>
      <c r="AI74" s="53" t="s">
        <v>2686</v>
      </c>
      <c r="AJ74" s="53" t="s">
        <v>1591</v>
      </c>
    </row>
    <row r="75" spans="1:36" s="3" customFormat="1" ht="72" x14ac:dyDescent="0.25">
      <c r="A75" s="17" t="s">
        <v>182</v>
      </c>
      <c r="B75" s="18" t="s">
        <v>2307</v>
      </c>
      <c r="C75" s="19" t="s">
        <v>2625</v>
      </c>
      <c r="D75" s="45" t="s">
        <v>2626</v>
      </c>
      <c r="E75" s="50" t="s">
        <v>4196</v>
      </c>
      <c r="F75" s="58" t="s">
        <v>2096</v>
      </c>
      <c r="G75" s="51">
        <v>180839959.31999999</v>
      </c>
      <c r="H75" s="51" t="s">
        <v>4197</v>
      </c>
      <c r="I75" s="50" t="s">
        <v>2617</v>
      </c>
      <c r="J75" s="58" t="s">
        <v>2629</v>
      </c>
      <c r="K75" s="52" t="s">
        <v>4198</v>
      </c>
      <c r="L75" s="59">
        <v>40360</v>
      </c>
      <c r="M75" s="60">
        <f>L75+720</f>
        <v>41080</v>
      </c>
      <c r="N75" s="51">
        <v>5785100</v>
      </c>
      <c r="O75" s="59">
        <v>43138</v>
      </c>
      <c r="P75" s="59">
        <f>M75+2058</f>
        <v>43138</v>
      </c>
      <c r="Q75" s="51">
        <v>810215.46</v>
      </c>
      <c r="R75" s="51">
        <f>N75+Q75</f>
        <v>6595315.46</v>
      </c>
      <c r="S75" s="51">
        <v>1959884.83</v>
      </c>
      <c r="T75" s="52"/>
      <c r="U75" s="51">
        <v>859654.19</v>
      </c>
      <c r="V75" s="51"/>
      <c r="W75" s="51"/>
      <c r="X75" s="51"/>
      <c r="Y75" s="19" t="s">
        <v>149</v>
      </c>
      <c r="Z75" s="19"/>
      <c r="AA75" s="28" t="s">
        <v>7114</v>
      </c>
      <c r="AB75" s="56">
        <v>43423</v>
      </c>
      <c r="AC75" s="28" t="s">
        <v>7115</v>
      </c>
      <c r="AD75" s="28" t="s">
        <v>7116</v>
      </c>
      <c r="AE75" s="54" t="s">
        <v>7123</v>
      </c>
      <c r="AF75" s="54"/>
      <c r="AG75" s="54" t="s">
        <v>7124</v>
      </c>
      <c r="AH75" s="53" t="s">
        <v>1591</v>
      </c>
      <c r="AI75" s="53" t="s">
        <v>2686</v>
      </c>
      <c r="AJ75" s="53" t="s">
        <v>1591</v>
      </c>
    </row>
    <row r="76" spans="1:36" s="3" customFormat="1" ht="72" x14ac:dyDescent="0.25">
      <c r="A76" s="17" t="s">
        <v>182</v>
      </c>
      <c r="B76" s="18" t="s">
        <v>2307</v>
      </c>
      <c r="C76" s="76" t="s">
        <v>6003</v>
      </c>
      <c r="D76" s="45" t="s">
        <v>6004</v>
      </c>
      <c r="E76" s="78"/>
      <c r="F76" s="79"/>
      <c r="G76" s="80"/>
      <c r="H76" s="80"/>
      <c r="I76" s="78" t="s">
        <v>322</v>
      </c>
      <c r="J76" s="79" t="s">
        <v>6005</v>
      </c>
      <c r="K76" s="81" t="s">
        <v>6006</v>
      </c>
      <c r="L76" s="82">
        <v>41845</v>
      </c>
      <c r="M76" s="83" t="s">
        <v>4443</v>
      </c>
      <c r="N76" s="80">
        <v>5182560.29</v>
      </c>
      <c r="O76" s="82" t="s">
        <v>186</v>
      </c>
      <c r="P76" s="84" t="s">
        <v>5987</v>
      </c>
      <c r="Q76" s="80">
        <v>0</v>
      </c>
      <c r="R76" s="80">
        <v>5182560.29</v>
      </c>
      <c r="S76" s="80">
        <v>117581.92</v>
      </c>
      <c r="T76" s="81"/>
      <c r="U76" s="80">
        <v>1229311.03</v>
      </c>
      <c r="V76" s="80"/>
      <c r="W76" s="80"/>
      <c r="X76" s="80"/>
      <c r="Y76" s="76" t="s">
        <v>186</v>
      </c>
      <c r="Z76" s="19" t="s">
        <v>7038</v>
      </c>
      <c r="AA76" s="28" t="s">
        <v>7114</v>
      </c>
      <c r="AB76" s="56">
        <v>43423</v>
      </c>
      <c r="AC76" s="28" t="s">
        <v>7115</v>
      </c>
      <c r="AD76" s="28" t="s">
        <v>7116</v>
      </c>
      <c r="AE76" s="54" t="s">
        <v>7135</v>
      </c>
      <c r="AF76" s="54"/>
      <c r="AG76" s="54" t="s">
        <v>7124</v>
      </c>
      <c r="AH76" s="53" t="s">
        <v>1591</v>
      </c>
      <c r="AI76" s="53" t="s">
        <v>2686</v>
      </c>
      <c r="AJ76" s="53" t="s">
        <v>1591</v>
      </c>
    </row>
    <row r="77" spans="1:36" s="3" customFormat="1" ht="72" x14ac:dyDescent="0.25">
      <c r="A77" s="35" t="s">
        <v>182</v>
      </c>
      <c r="B77" s="18" t="s">
        <v>2307</v>
      </c>
      <c r="C77" s="76"/>
      <c r="D77" s="43" t="s">
        <v>6007</v>
      </c>
      <c r="E77" s="78"/>
      <c r="F77" s="36"/>
      <c r="G77" s="80"/>
      <c r="H77" s="80"/>
      <c r="I77" s="36" t="s">
        <v>6002</v>
      </c>
      <c r="J77" s="34" t="s">
        <v>6008</v>
      </c>
      <c r="K77" s="37" t="s">
        <v>6009</v>
      </c>
      <c r="L77" s="38">
        <v>41548</v>
      </c>
      <c r="M77" s="39">
        <v>41908</v>
      </c>
      <c r="N77" s="42">
        <v>4377520.6100000003</v>
      </c>
      <c r="O77" s="85">
        <v>42278</v>
      </c>
      <c r="P77" s="86">
        <v>42268</v>
      </c>
      <c r="Q77" s="41">
        <v>0</v>
      </c>
      <c r="R77" s="41">
        <v>4377520.6100000003</v>
      </c>
      <c r="S77" s="80"/>
      <c r="T77" s="81"/>
      <c r="U77" s="80"/>
      <c r="V77" s="80"/>
      <c r="W77" s="42"/>
      <c r="X77" s="42">
        <v>2077860.76</v>
      </c>
      <c r="Y77" s="34" t="s">
        <v>4321</v>
      </c>
      <c r="Z77" s="19" t="s">
        <v>7038</v>
      </c>
      <c r="AA77" s="28" t="s">
        <v>7114</v>
      </c>
      <c r="AB77" s="56">
        <v>43423</v>
      </c>
      <c r="AC77" s="28" t="s">
        <v>7115</v>
      </c>
      <c r="AD77" s="28" t="s">
        <v>7116</v>
      </c>
      <c r="AE77" s="54" t="s">
        <v>7123</v>
      </c>
      <c r="AF77" s="54"/>
      <c r="AG77" s="54" t="s">
        <v>7136</v>
      </c>
      <c r="AH77" s="53" t="s">
        <v>1591</v>
      </c>
      <c r="AI77" s="53" t="s">
        <v>2686</v>
      </c>
      <c r="AJ77" s="53" t="s">
        <v>1591</v>
      </c>
    </row>
    <row r="78" spans="1:36" s="3" customFormat="1" ht="72" x14ac:dyDescent="0.25">
      <c r="A78" s="17" t="s">
        <v>182</v>
      </c>
      <c r="B78" s="18" t="s">
        <v>2307</v>
      </c>
      <c r="C78" s="76" t="s">
        <v>6010</v>
      </c>
      <c r="D78" s="45" t="s">
        <v>6011</v>
      </c>
      <c r="E78" s="78"/>
      <c r="F78" s="79"/>
      <c r="G78" s="80"/>
      <c r="H78" s="80"/>
      <c r="I78" s="78" t="s">
        <v>6002</v>
      </c>
      <c r="J78" s="79" t="s">
        <v>6008</v>
      </c>
      <c r="K78" s="81" t="s">
        <v>6012</v>
      </c>
      <c r="L78" s="82">
        <v>41554</v>
      </c>
      <c r="M78" s="83" t="s">
        <v>4609</v>
      </c>
      <c r="N78" s="80">
        <v>3478183.98</v>
      </c>
      <c r="O78" s="82">
        <v>42501</v>
      </c>
      <c r="P78" s="84" t="s">
        <v>6013</v>
      </c>
      <c r="Q78" s="80">
        <v>0</v>
      </c>
      <c r="R78" s="80">
        <v>3478183.98</v>
      </c>
      <c r="S78" s="80">
        <v>113290.38</v>
      </c>
      <c r="T78" s="81"/>
      <c r="U78" s="80">
        <v>94427.54</v>
      </c>
      <c r="V78" s="80"/>
      <c r="W78" s="80"/>
      <c r="X78" s="80">
        <v>1533337.9</v>
      </c>
      <c r="Y78" s="76" t="s">
        <v>575</v>
      </c>
      <c r="Z78" s="19" t="s">
        <v>7038</v>
      </c>
      <c r="AA78" s="28" t="s">
        <v>7114</v>
      </c>
      <c r="AB78" s="56">
        <v>43423</v>
      </c>
      <c r="AC78" s="28" t="s">
        <v>7115</v>
      </c>
      <c r="AD78" s="28" t="s">
        <v>7116</v>
      </c>
      <c r="AE78" s="54" t="s">
        <v>7123</v>
      </c>
      <c r="AF78" s="54"/>
      <c r="AG78" s="54" t="s">
        <v>7136</v>
      </c>
      <c r="AH78" s="53" t="s">
        <v>1591</v>
      </c>
      <c r="AI78" s="53" t="s">
        <v>2686</v>
      </c>
      <c r="AJ78" s="53" t="s">
        <v>1591</v>
      </c>
    </row>
    <row r="79" spans="1:36" s="3" customFormat="1" ht="72" x14ac:dyDescent="0.25">
      <c r="A79" s="17" t="s">
        <v>182</v>
      </c>
      <c r="B79" s="18" t="s">
        <v>2307</v>
      </c>
      <c r="C79" s="19" t="s">
        <v>4044</v>
      </c>
      <c r="D79" s="45" t="s">
        <v>4045</v>
      </c>
      <c r="E79" s="50"/>
      <c r="F79" s="58"/>
      <c r="G79" s="51"/>
      <c r="H79" s="51"/>
      <c r="I79" s="50" t="s">
        <v>2193</v>
      </c>
      <c r="J79" s="58" t="s">
        <v>2691</v>
      </c>
      <c r="K79" s="52" t="s">
        <v>4194</v>
      </c>
      <c r="L79" s="59">
        <v>41232</v>
      </c>
      <c r="M79" s="60">
        <f>L79+360</f>
        <v>41592</v>
      </c>
      <c r="N79" s="51">
        <v>3270000</v>
      </c>
      <c r="O79" s="59" t="s">
        <v>46</v>
      </c>
      <c r="P79" s="59">
        <f>M79+1590</f>
        <v>43182</v>
      </c>
      <c r="Q79" s="51"/>
      <c r="R79" s="51">
        <f t="shared" ref="R79:R88" si="1">N79+Q79</f>
        <v>3270000</v>
      </c>
      <c r="S79" s="51">
        <v>1354402.34</v>
      </c>
      <c r="T79" s="52"/>
      <c r="U79" s="51">
        <v>3382811.4</v>
      </c>
      <c r="V79" s="51"/>
      <c r="W79" s="51"/>
      <c r="X79" s="51"/>
      <c r="Y79" s="19" t="s">
        <v>175</v>
      </c>
      <c r="Z79" s="19"/>
      <c r="AA79" s="28" t="s">
        <v>7114</v>
      </c>
      <c r="AB79" s="56">
        <v>43423</v>
      </c>
      <c r="AC79" s="28" t="s">
        <v>7115</v>
      </c>
      <c r="AD79" s="28" t="s">
        <v>7116</v>
      </c>
      <c r="AE79" s="54" t="s">
        <v>7137</v>
      </c>
      <c r="AF79" s="54"/>
      <c r="AG79" s="54" t="s">
        <v>7138</v>
      </c>
      <c r="AH79" s="53" t="s">
        <v>1591</v>
      </c>
      <c r="AI79" s="53" t="s">
        <v>2686</v>
      </c>
      <c r="AJ79" s="53" t="s">
        <v>1591</v>
      </c>
    </row>
    <row r="80" spans="1:36" s="3" customFormat="1" ht="72" x14ac:dyDescent="0.25">
      <c r="A80" s="17" t="s">
        <v>182</v>
      </c>
      <c r="B80" s="18" t="s">
        <v>2307</v>
      </c>
      <c r="C80" s="19" t="s">
        <v>2609</v>
      </c>
      <c r="D80" s="45" t="s">
        <v>4019</v>
      </c>
      <c r="E80" s="50" t="s">
        <v>4170</v>
      </c>
      <c r="F80" s="58" t="s">
        <v>2603</v>
      </c>
      <c r="G80" s="51">
        <v>3186900.92</v>
      </c>
      <c r="H80" s="51">
        <v>354100.1</v>
      </c>
      <c r="I80" s="50" t="s">
        <v>544</v>
      </c>
      <c r="J80" s="58" t="s">
        <v>2631</v>
      </c>
      <c r="K80" s="52" t="s">
        <v>4171</v>
      </c>
      <c r="L80" s="59">
        <v>42110</v>
      </c>
      <c r="M80" s="60">
        <f>L80+540</f>
        <v>42650</v>
      </c>
      <c r="N80" s="51">
        <v>2676405.2799999998</v>
      </c>
      <c r="O80" s="59">
        <v>43130</v>
      </c>
      <c r="P80" s="59">
        <f>M80+480</f>
        <v>43130</v>
      </c>
      <c r="Q80" s="51">
        <v>544252.31999999995</v>
      </c>
      <c r="R80" s="51">
        <f t="shared" si="1"/>
        <v>3220657.5999999996</v>
      </c>
      <c r="S80" s="51">
        <v>243971.61</v>
      </c>
      <c r="T80" s="52"/>
      <c r="U80" s="51">
        <v>252676.66</v>
      </c>
      <c r="V80" s="51"/>
      <c r="W80" s="51"/>
      <c r="X80" s="51"/>
      <c r="Y80" s="19" t="s">
        <v>149</v>
      </c>
      <c r="Z80" s="19"/>
      <c r="AA80" s="28" t="s">
        <v>7114</v>
      </c>
      <c r="AB80" s="56">
        <v>43423</v>
      </c>
      <c r="AC80" s="28" t="s">
        <v>7115</v>
      </c>
      <c r="AD80" s="28" t="s">
        <v>7116</v>
      </c>
      <c r="AE80" s="54" t="s">
        <v>7123</v>
      </c>
      <c r="AF80" s="54"/>
      <c r="AG80" s="54" t="s">
        <v>7125</v>
      </c>
      <c r="AH80" s="53" t="s">
        <v>1591</v>
      </c>
      <c r="AI80" s="53" t="s">
        <v>2686</v>
      </c>
      <c r="AJ80" s="53" t="s">
        <v>1591</v>
      </c>
    </row>
    <row r="81" spans="1:36" s="3" customFormat="1" ht="60" x14ac:dyDescent="0.25">
      <c r="A81" s="17" t="s">
        <v>182</v>
      </c>
      <c r="B81" s="18" t="s">
        <v>2307</v>
      </c>
      <c r="C81" s="19" t="s">
        <v>4040</v>
      </c>
      <c r="D81" s="45" t="s">
        <v>4041</v>
      </c>
      <c r="E81" s="50"/>
      <c r="F81" s="58"/>
      <c r="G81" s="51"/>
      <c r="H81" s="51"/>
      <c r="I81" s="50" t="s">
        <v>4189</v>
      </c>
      <c r="J81" s="58" t="s">
        <v>4190</v>
      </c>
      <c r="K81" s="52" t="s">
        <v>4191</v>
      </c>
      <c r="L81" s="59">
        <v>42913</v>
      </c>
      <c r="M81" s="60">
        <f>L81+240</f>
        <v>43153</v>
      </c>
      <c r="N81" s="51">
        <v>2635931.9500000002</v>
      </c>
      <c r="O81" s="59" t="s">
        <v>46</v>
      </c>
      <c r="P81" s="59">
        <f>M81+60</f>
        <v>43213</v>
      </c>
      <c r="Q81" s="51"/>
      <c r="R81" s="51">
        <f t="shared" si="1"/>
        <v>2635931.9500000002</v>
      </c>
      <c r="S81" s="51" t="s">
        <v>4197</v>
      </c>
      <c r="T81" s="52"/>
      <c r="U81" s="51">
        <v>1772181.92</v>
      </c>
      <c r="V81" s="51"/>
      <c r="W81" s="51"/>
      <c r="X81" s="51"/>
      <c r="Y81" s="19" t="s">
        <v>175</v>
      </c>
      <c r="Z81" s="19"/>
      <c r="AA81" s="28" t="s">
        <v>7114</v>
      </c>
      <c r="AB81" s="56">
        <v>43423</v>
      </c>
      <c r="AC81" s="28" t="s">
        <v>7115</v>
      </c>
      <c r="AD81" s="28" t="s">
        <v>7116</v>
      </c>
      <c r="AE81" s="54" t="s">
        <v>7134</v>
      </c>
      <c r="AF81" s="54"/>
      <c r="AG81" s="54" t="s">
        <v>7139</v>
      </c>
      <c r="AH81" s="53" t="s">
        <v>1591</v>
      </c>
      <c r="AI81" s="53" t="s">
        <v>2686</v>
      </c>
      <c r="AJ81" s="53" t="s">
        <v>1591</v>
      </c>
    </row>
    <row r="82" spans="1:36" s="3" customFormat="1" ht="72" x14ac:dyDescent="0.25">
      <c r="A82" s="17" t="s">
        <v>182</v>
      </c>
      <c r="B82" s="18" t="s">
        <v>2307</v>
      </c>
      <c r="C82" s="19" t="s">
        <v>4032</v>
      </c>
      <c r="D82" s="45" t="s">
        <v>4033</v>
      </c>
      <c r="E82" s="50"/>
      <c r="F82" s="58"/>
      <c r="G82" s="51"/>
      <c r="H82" s="51"/>
      <c r="I82" s="50" t="s">
        <v>2604</v>
      </c>
      <c r="J82" s="58" t="s">
        <v>2628</v>
      </c>
      <c r="K82" s="52" t="s">
        <v>4184</v>
      </c>
      <c r="L82" s="59">
        <v>42858</v>
      </c>
      <c r="M82" s="60">
        <f>L82+120</f>
        <v>42978</v>
      </c>
      <c r="N82" s="51">
        <v>2595002.13</v>
      </c>
      <c r="O82" s="59">
        <v>43100</v>
      </c>
      <c r="P82" s="59">
        <f>M82+120</f>
        <v>43098</v>
      </c>
      <c r="Q82" s="51"/>
      <c r="R82" s="51">
        <f t="shared" si="1"/>
        <v>2595002.13</v>
      </c>
      <c r="S82" s="51" t="s">
        <v>4197</v>
      </c>
      <c r="T82" s="52"/>
      <c r="U82" s="51">
        <v>1950182.67</v>
      </c>
      <c r="V82" s="51"/>
      <c r="W82" s="51"/>
      <c r="X82" s="51"/>
      <c r="Y82" s="19" t="s">
        <v>149</v>
      </c>
      <c r="Z82" s="19"/>
      <c r="AA82" s="28" t="s">
        <v>7114</v>
      </c>
      <c r="AB82" s="56">
        <v>43423</v>
      </c>
      <c r="AC82" s="28" t="s">
        <v>7115</v>
      </c>
      <c r="AD82" s="28" t="s">
        <v>7116</v>
      </c>
      <c r="AE82" s="54" t="s">
        <v>7123</v>
      </c>
      <c r="AF82" s="54"/>
      <c r="AG82" s="54" t="s">
        <v>7125</v>
      </c>
      <c r="AH82" s="53" t="s">
        <v>1591</v>
      </c>
      <c r="AI82" s="53" t="s">
        <v>2686</v>
      </c>
      <c r="AJ82" s="53" t="s">
        <v>1591</v>
      </c>
    </row>
    <row r="83" spans="1:36" s="3" customFormat="1" ht="72" x14ac:dyDescent="0.25">
      <c r="A83" s="17" t="s">
        <v>182</v>
      </c>
      <c r="B83" s="18" t="s">
        <v>2307</v>
      </c>
      <c r="C83" s="19" t="s">
        <v>2613</v>
      </c>
      <c r="D83" s="45" t="s">
        <v>4021</v>
      </c>
      <c r="E83" s="50"/>
      <c r="F83" s="58"/>
      <c r="G83" s="51"/>
      <c r="H83" s="51"/>
      <c r="I83" s="50" t="s">
        <v>540</v>
      </c>
      <c r="J83" s="58" t="s">
        <v>4165</v>
      </c>
      <c r="K83" s="52" t="s">
        <v>4173</v>
      </c>
      <c r="L83" s="59">
        <v>42576</v>
      </c>
      <c r="M83" s="60">
        <f>L83+180</f>
        <v>42756</v>
      </c>
      <c r="N83" s="51">
        <v>2566770.12</v>
      </c>
      <c r="O83" s="59">
        <v>42756</v>
      </c>
      <c r="P83" s="59">
        <v>0</v>
      </c>
      <c r="Q83" s="51"/>
      <c r="R83" s="51">
        <f t="shared" si="1"/>
        <v>2566770.12</v>
      </c>
      <c r="S83" s="51" t="s">
        <v>4197</v>
      </c>
      <c r="T83" s="52"/>
      <c r="U83" s="51">
        <v>154158.5</v>
      </c>
      <c r="V83" s="51"/>
      <c r="W83" s="51"/>
      <c r="X83" s="51"/>
      <c r="Y83" s="19" t="s">
        <v>149</v>
      </c>
      <c r="Z83" s="19"/>
      <c r="AA83" s="28" t="s">
        <v>7114</v>
      </c>
      <c r="AB83" s="56">
        <v>43423</v>
      </c>
      <c r="AC83" s="28" t="s">
        <v>7115</v>
      </c>
      <c r="AD83" s="28" t="s">
        <v>7116</v>
      </c>
      <c r="AE83" s="54" t="s">
        <v>7123</v>
      </c>
      <c r="AF83" s="54"/>
      <c r="AG83" s="54" t="s">
        <v>7125</v>
      </c>
      <c r="AH83" s="53" t="s">
        <v>1591</v>
      </c>
      <c r="AI83" s="53" t="s">
        <v>2686</v>
      </c>
      <c r="AJ83" s="53" t="s">
        <v>1591</v>
      </c>
    </row>
    <row r="84" spans="1:36" s="3" customFormat="1" ht="72" x14ac:dyDescent="0.25">
      <c r="A84" s="17" t="s">
        <v>182</v>
      </c>
      <c r="B84" s="18" t="s">
        <v>2307</v>
      </c>
      <c r="C84" s="19" t="s">
        <v>4017</v>
      </c>
      <c r="D84" s="45" t="s">
        <v>4018</v>
      </c>
      <c r="E84" s="50"/>
      <c r="F84" s="58"/>
      <c r="G84" s="51"/>
      <c r="H84" s="51"/>
      <c r="I84" s="50" t="s">
        <v>327</v>
      </c>
      <c r="J84" s="58" t="s">
        <v>2921</v>
      </c>
      <c r="K84" s="52" t="s">
        <v>4168</v>
      </c>
      <c r="L84" s="59">
        <v>42800</v>
      </c>
      <c r="M84" s="60">
        <f>L84+180</f>
        <v>42980</v>
      </c>
      <c r="N84" s="51">
        <v>1740105.93</v>
      </c>
      <c r="O84" s="59" t="s">
        <v>46</v>
      </c>
      <c r="P84" s="59">
        <f>M84+150</f>
        <v>43130</v>
      </c>
      <c r="Q84" s="51">
        <v>164564.17000000001</v>
      </c>
      <c r="R84" s="51">
        <f t="shared" si="1"/>
        <v>1904670.0999999999</v>
      </c>
      <c r="S84" s="51" t="s">
        <v>4197</v>
      </c>
      <c r="T84" s="52"/>
      <c r="U84" s="51">
        <v>1699560.1</v>
      </c>
      <c r="V84" s="51"/>
      <c r="W84" s="51"/>
      <c r="X84" s="51"/>
      <c r="Y84" s="19" t="s">
        <v>175</v>
      </c>
      <c r="Z84" s="19"/>
      <c r="AA84" s="28" t="s">
        <v>7114</v>
      </c>
      <c r="AB84" s="56">
        <v>43423</v>
      </c>
      <c r="AC84" s="28" t="s">
        <v>7115</v>
      </c>
      <c r="AD84" s="28" t="s">
        <v>7116</v>
      </c>
      <c r="AE84" s="54" t="s">
        <v>7123</v>
      </c>
      <c r="AF84" s="54"/>
      <c r="AG84" s="54" t="s">
        <v>7124</v>
      </c>
      <c r="AH84" s="53" t="s">
        <v>39</v>
      </c>
      <c r="AI84" s="53" t="s">
        <v>2686</v>
      </c>
      <c r="AJ84" s="53" t="s">
        <v>1591</v>
      </c>
    </row>
    <row r="85" spans="1:36" s="3" customFormat="1" ht="72" x14ac:dyDescent="0.25">
      <c r="A85" s="17" t="s">
        <v>182</v>
      </c>
      <c r="B85" s="18" t="s">
        <v>2307</v>
      </c>
      <c r="C85" s="19" t="s">
        <v>2605</v>
      </c>
      <c r="D85" s="45" t="s">
        <v>2606</v>
      </c>
      <c r="E85" s="50"/>
      <c r="F85" s="58"/>
      <c r="G85" s="51"/>
      <c r="H85" s="51"/>
      <c r="I85" s="50" t="s">
        <v>2607</v>
      </c>
      <c r="J85" s="58" t="s">
        <v>2608</v>
      </c>
      <c r="K85" s="52" t="s">
        <v>4164</v>
      </c>
      <c r="L85" s="59">
        <v>42576</v>
      </c>
      <c r="M85" s="60">
        <f>L85+150</f>
        <v>42726</v>
      </c>
      <c r="N85" s="51">
        <v>1453801.85</v>
      </c>
      <c r="O85" s="59">
        <v>43069</v>
      </c>
      <c r="P85" s="59">
        <f>M85+390</f>
        <v>43116</v>
      </c>
      <c r="Q85" s="51">
        <v>215281.98</v>
      </c>
      <c r="R85" s="51">
        <f t="shared" si="1"/>
        <v>1669083.83</v>
      </c>
      <c r="S85" s="51">
        <v>14545.6</v>
      </c>
      <c r="T85" s="52"/>
      <c r="U85" s="51">
        <v>349466.59</v>
      </c>
      <c r="V85" s="51"/>
      <c r="W85" s="51"/>
      <c r="X85" s="51"/>
      <c r="Y85" s="19" t="s">
        <v>149</v>
      </c>
      <c r="Z85" s="19"/>
      <c r="AA85" s="28" t="s">
        <v>7114</v>
      </c>
      <c r="AB85" s="56">
        <v>43423</v>
      </c>
      <c r="AC85" s="28" t="s">
        <v>7115</v>
      </c>
      <c r="AD85" s="28" t="s">
        <v>7116</v>
      </c>
      <c r="AE85" s="54" t="s">
        <v>7123</v>
      </c>
      <c r="AF85" s="54"/>
      <c r="AG85" s="54" t="s">
        <v>7125</v>
      </c>
      <c r="AH85" s="53" t="s">
        <v>39</v>
      </c>
      <c r="AI85" s="53" t="s">
        <v>2686</v>
      </c>
      <c r="AJ85" s="53" t="s">
        <v>1591</v>
      </c>
    </row>
    <row r="86" spans="1:36" s="3" customFormat="1" ht="72" x14ac:dyDescent="0.25">
      <c r="A86" s="17" t="s">
        <v>182</v>
      </c>
      <c r="B86" s="18" t="s">
        <v>2307</v>
      </c>
      <c r="C86" s="19" t="s">
        <v>4022</v>
      </c>
      <c r="D86" s="45" t="s">
        <v>4023</v>
      </c>
      <c r="E86" s="50"/>
      <c r="F86" s="58"/>
      <c r="G86" s="51"/>
      <c r="H86" s="51"/>
      <c r="I86" s="50" t="s">
        <v>327</v>
      </c>
      <c r="J86" s="58" t="s">
        <v>2921</v>
      </c>
      <c r="K86" s="52" t="s">
        <v>4174</v>
      </c>
      <c r="L86" s="59">
        <v>42781</v>
      </c>
      <c r="M86" s="60">
        <f>L86+180</f>
        <v>42961</v>
      </c>
      <c r="N86" s="51">
        <v>1599964.44</v>
      </c>
      <c r="O86" s="59">
        <v>43127</v>
      </c>
      <c r="P86" s="59">
        <f>M86+165</f>
        <v>43126</v>
      </c>
      <c r="Q86" s="51">
        <v>62897.45</v>
      </c>
      <c r="R86" s="51">
        <f t="shared" si="1"/>
        <v>1662861.89</v>
      </c>
      <c r="S86" s="51" t="s">
        <v>4283</v>
      </c>
      <c r="T86" s="52"/>
      <c r="U86" s="51">
        <v>1656402.69</v>
      </c>
      <c r="V86" s="51"/>
      <c r="W86" s="51"/>
      <c r="X86" s="51"/>
      <c r="Y86" s="19" t="s">
        <v>149</v>
      </c>
      <c r="Z86" s="19"/>
      <c r="AA86" s="28" t="s">
        <v>7114</v>
      </c>
      <c r="AB86" s="56">
        <v>43423</v>
      </c>
      <c r="AC86" s="28" t="s">
        <v>7115</v>
      </c>
      <c r="AD86" s="28" t="s">
        <v>7116</v>
      </c>
      <c r="AE86" s="54" t="s">
        <v>7123</v>
      </c>
      <c r="AF86" s="54"/>
      <c r="AG86" s="54" t="s">
        <v>7124</v>
      </c>
      <c r="AH86" s="53" t="s">
        <v>39</v>
      </c>
      <c r="AI86" s="53" t="s">
        <v>2686</v>
      </c>
      <c r="AJ86" s="53" t="s">
        <v>1591</v>
      </c>
    </row>
    <row r="87" spans="1:36" s="3" customFormat="1" ht="72" x14ac:dyDescent="0.25">
      <c r="A87" s="17" t="s">
        <v>182</v>
      </c>
      <c r="B87" s="18" t="s">
        <v>2307</v>
      </c>
      <c r="C87" s="19" t="s">
        <v>4013</v>
      </c>
      <c r="D87" s="45" t="s">
        <v>4014</v>
      </c>
      <c r="E87" s="50"/>
      <c r="F87" s="58"/>
      <c r="G87" s="51"/>
      <c r="H87" s="51"/>
      <c r="I87" s="50" t="s">
        <v>540</v>
      </c>
      <c r="J87" s="58" t="s">
        <v>4165</v>
      </c>
      <c r="K87" s="52" t="s">
        <v>4166</v>
      </c>
      <c r="L87" s="59">
        <v>42902</v>
      </c>
      <c r="M87" s="60">
        <f>L87+150</f>
        <v>43052</v>
      </c>
      <c r="N87" s="51">
        <v>935298.71</v>
      </c>
      <c r="O87" s="59">
        <v>43100</v>
      </c>
      <c r="P87" s="59">
        <f>M87+90</f>
        <v>43142</v>
      </c>
      <c r="Q87" s="51">
        <v>228193.48</v>
      </c>
      <c r="R87" s="51">
        <f t="shared" si="1"/>
        <v>1163492.19</v>
      </c>
      <c r="S87" s="51">
        <v>0</v>
      </c>
      <c r="T87" s="52"/>
      <c r="U87" s="51">
        <v>1161950.1399999999</v>
      </c>
      <c r="V87" s="51"/>
      <c r="W87" s="51"/>
      <c r="X87" s="51"/>
      <c r="Y87" s="19" t="s">
        <v>149</v>
      </c>
      <c r="Z87" s="19"/>
      <c r="AA87" s="28" t="s">
        <v>7114</v>
      </c>
      <c r="AB87" s="56">
        <v>43423</v>
      </c>
      <c r="AC87" s="28" t="s">
        <v>7115</v>
      </c>
      <c r="AD87" s="28" t="s">
        <v>7116</v>
      </c>
      <c r="AE87" s="54" t="s">
        <v>7123</v>
      </c>
      <c r="AF87" s="54"/>
      <c r="AG87" s="54" t="s">
        <v>7124</v>
      </c>
      <c r="AH87" s="53" t="s">
        <v>39</v>
      </c>
      <c r="AI87" s="53" t="s">
        <v>2686</v>
      </c>
      <c r="AJ87" s="53" t="s">
        <v>1591</v>
      </c>
    </row>
    <row r="88" spans="1:36" s="3" customFormat="1" ht="108" x14ac:dyDescent="0.25">
      <c r="A88" s="17" t="s">
        <v>182</v>
      </c>
      <c r="B88" s="18" t="s">
        <v>2307</v>
      </c>
      <c r="C88" s="19" t="s">
        <v>4047</v>
      </c>
      <c r="D88" s="45" t="s">
        <v>4048</v>
      </c>
      <c r="E88" s="50"/>
      <c r="F88" s="58"/>
      <c r="G88" s="51"/>
      <c r="H88" s="51"/>
      <c r="I88" s="50" t="s">
        <v>2031</v>
      </c>
      <c r="J88" s="58" t="s">
        <v>4199</v>
      </c>
      <c r="K88" s="52" t="s">
        <v>4200</v>
      </c>
      <c r="L88" s="59">
        <v>42156</v>
      </c>
      <c r="M88" s="60">
        <f>L88+360</f>
        <v>42516</v>
      </c>
      <c r="N88" s="51">
        <v>1114111.44</v>
      </c>
      <c r="O88" s="59">
        <v>42886</v>
      </c>
      <c r="P88" s="59">
        <f>M88+360</f>
        <v>42876</v>
      </c>
      <c r="Q88" s="51"/>
      <c r="R88" s="51">
        <f t="shared" si="1"/>
        <v>1114111.44</v>
      </c>
      <c r="S88" s="51" t="s">
        <v>4197</v>
      </c>
      <c r="T88" s="52"/>
      <c r="U88" s="51">
        <v>372166.82</v>
      </c>
      <c r="V88" s="51"/>
      <c r="W88" s="51"/>
      <c r="X88" s="51"/>
      <c r="Y88" s="19" t="s">
        <v>149</v>
      </c>
      <c r="Z88" s="19"/>
      <c r="AA88" s="28" t="s">
        <v>7114</v>
      </c>
      <c r="AB88" s="56">
        <v>43423</v>
      </c>
      <c r="AC88" s="28" t="s">
        <v>7115</v>
      </c>
      <c r="AD88" s="28" t="s">
        <v>7116</v>
      </c>
      <c r="AE88" s="54" t="s">
        <v>7140</v>
      </c>
      <c r="AF88" s="54"/>
      <c r="AG88" s="54" t="s">
        <v>7141</v>
      </c>
      <c r="AH88" s="53" t="s">
        <v>1591</v>
      </c>
      <c r="AI88" s="53" t="s">
        <v>2686</v>
      </c>
      <c r="AJ88" s="53" t="s">
        <v>1591</v>
      </c>
    </row>
    <row r="89" spans="1:36" s="3" customFormat="1" ht="168" x14ac:dyDescent="0.25">
      <c r="A89" s="35" t="s">
        <v>182</v>
      </c>
      <c r="B89" s="18" t="s">
        <v>2307</v>
      </c>
      <c r="C89" s="76"/>
      <c r="D89" s="43" t="s">
        <v>6016</v>
      </c>
      <c r="E89" s="78"/>
      <c r="F89" s="36"/>
      <c r="G89" s="80"/>
      <c r="H89" s="80"/>
      <c r="I89" s="36" t="s">
        <v>327</v>
      </c>
      <c r="J89" s="34" t="s">
        <v>6017</v>
      </c>
      <c r="K89" s="37" t="s">
        <v>6018</v>
      </c>
      <c r="L89" s="38">
        <v>41673</v>
      </c>
      <c r="M89" s="39">
        <v>41853</v>
      </c>
      <c r="N89" s="42">
        <v>958979.2</v>
      </c>
      <c r="O89" s="85"/>
      <c r="P89" s="86">
        <v>42157</v>
      </c>
      <c r="Q89" s="41">
        <v>146820.80000000005</v>
      </c>
      <c r="R89" s="41">
        <v>1105800</v>
      </c>
      <c r="S89" s="80"/>
      <c r="T89" s="81"/>
      <c r="U89" s="80"/>
      <c r="V89" s="80"/>
      <c r="W89" s="42"/>
      <c r="X89" s="42">
        <v>86627.010000000009</v>
      </c>
      <c r="Y89" s="34" t="s">
        <v>4321</v>
      </c>
      <c r="Z89" s="19" t="s">
        <v>7038</v>
      </c>
      <c r="AA89" s="28" t="s">
        <v>7114</v>
      </c>
      <c r="AB89" s="56">
        <v>43423</v>
      </c>
      <c r="AC89" s="28" t="s">
        <v>7115</v>
      </c>
      <c r="AD89" s="28" t="s">
        <v>7116</v>
      </c>
      <c r="AE89" s="54" t="s">
        <v>7142</v>
      </c>
      <c r="AF89" s="54"/>
      <c r="AG89" s="54" t="s">
        <v>7143</v>
      </c>
      <c r="AH89" s="53" t="s">
        <v>1591</v>
      </c>
      <c r="AI89" s="53" t="s">
        <v>2686</v>
      </c>
      <c r="AJ89" s="53" t="s">
        <v>1591</v>
      </c>
    </row>
    <row r="90" spans="1:36" s="3" customFormat="1" ht="72" x14ac:dyDescent="0.25">
      <c r="A90" s="35" t="s">
        <v>182</v>
      </c>
      <c r="B90" s="18" t="s">
        <v>2307</v>
      </c>
      <c r="C90" s="76"/>
      <c r="D90" s="43" t="s">
        <v>6019</v>
      </c>
      <c r="E90" s="78"/>
      <c r="F90" s="36"/>
      <c r="G90" s="80"/>
      <c r="H90" s="80"/>
      <c r="I90" s="36" t="s">
        <v>2031</v>
      </c>
      <c r="J90" s="34" t="s">
        <v>6020</v>
      </c>
      <c r="K90" s="37" t="s">
        <v>6021</v>
      </c>
      <c r="L90" s="38">
        <v>41667</v>
      </c>
      <c r="M90" s="39">
        <v>41847</v>
      </c>
      <c r="N90" s="42">
        <v>963655.16</v>
      </c>
      <c r="O90" s="85">
        <v>41759</v>
      </c>
      <c r="P90" s="86">
        <v>42207</v>
      </c>
      <c r="Q90" s="41">
        <v>0</v>
      </c>
      <c r="R90" s="41">
        <v>963655.16</v>
      </c>
      <c r="S90" s="80"/>
      <c r="T90" s="81"/>
      <c r="U90" s="80"/>
      <c r="V90" s="80"/>
      <c r="W90" s="42"/>
      <c r="X90" s="42">
        <v>76456.97</v>
      </c>
      <c r="Y90" s="34" t="s">
        <v>4321</v>
      </c>
      <c r="Z90" s="19" t="s">
        <v>7038</v>
      </c>
      <c r="AA90" s="28" t="s">
        <v>7114</v>
      </c>
      <c r="AB90" s="56">
        <v>43423</v>
      </c>
      <c r="AC90" s="28" t="s">
        <v>7115</v>
      </c>
      <c r="AD90" s="28" t="s">
        <v>7116</v>
      </c>
      <c r="AE90" s="54" t="s">
        <v>7123</v>
      </c>
      <c r="AF90" s="54"/>
      <c r="AG90" s="54" t="s">
        <v>7144</v>
      </c>
      <c r="AH90" s="53" t="s">
        <v>1591</v>
      </c>
      <c r="AI90" s="53" t="s">
        <v>2686</v>
      </c>
      <c r="AJ90" s="53" t="s">
        <v>1591</v>
      </c>
    </row>
    <row r="91" spans="1:36" s="3" customFormat="1" ht="72" x14ac:dyDescent="0.25">
      <c r="A91" s="35" t="s">
        <v>182</v>
      </c>
      <c r="B91" s="18" t="s">
        <v>2307</v>
      </c>
      <c r="C91" s="76"/>
      <c r="D91" s="43" t="s">
        <v>6022</v>
      </c>
      <c r="E91" s="78"/>
      <c r="F91" s="36"/>
      <c r="G91" s="80"/>
      <c r="H91" s="80"/>
      <c r="I91" s="36" t="s">
        <v>543</v>
      </c>
      <c r="J91" s="34" t="s">
        <v>6001</v>
      </c>
      <c r="K91" s="37" t="s">
        <v>6023</v>
      </c>
      <c r="L91" s="38">
        <v>42144</v>
      </c>
      <c r="M91" s="39">
        <v>42264</v>
      </c>
      <c r="N91" s="42">
        <v>942765.65</v>
      </c>
      <c r="O91" s="85">
        <v>42324</v>
      </c>
      <c r="P91" s="86">
        <v>42324</v>
      </c>
      <c r="Q91" s="41">
        <v>0</v>
      </c>
      <c r="R91" s="41">
        <v>942765.65</v>
      </c>
      <c r="S91" s="80"/>
      <c r="T91" s="81"/>
      <c r="U91" s="80"/>
      <c r="V91" s="80"/>
      <c r="W91" s="42"/>
      <c r="X91" s="42">
        <v>139714.1</v>
      </c>
      <c r="Y91" s="34" t="s">
        <v>4321</v>
      </c>
      <c r="Z91" s="19" t="s">
        <v>7038</v>
      </c>
      <c r="AA91" s="28" t="s">
        <v>7114</v>
      </c>
      <c r="AB91" s="56">
        <v>43423</v>
      </c>
      <c r="AC91" s="28" t="s">
        <v>7115</v>
      </c>
      <c r="AD91" s="28" t="s">
        <v>7116</v>
      </c>
      <c r="AE91" s="54" t="s">
        <v>7123</v>
      </c>
      <c r="AF91" s="54"/>
      <c r="AG91" s="54" t="s">
        <v>7131</v>
      </c>
      <c r="AH91" s="53" t="s">
        <v>1591</v>
      </c>
      <c r="AI91" s="53" t="s">
        <v>2686</v>
      </c>
      <c r="AJ91" s="53" t="s">
        <v>1591</v>
      </c>
    </row>
    <row r="92" spans="1:36" s="3" customFormat="1" ht="144" x14ac:dyDescent="0.25">
      <c r="A92" s="35" t="s">
        <v>182</v>
      </c>
      <c r="B92" s="18" t="s">
        <v>2307</v>
      </c>
      <c r="C92" s="76"/>
      <c r="D92" s="43" t="s">
        <v>6024</v>
      </c>
      <c r="E92" s="78"/>
      <c r="F92" s="36"/>
      <c r="G92" s="80"/>
      <c r="H92" s="80"/>
      <c r="I92" s="36" t="s">
        <v>6025</v>
      </c>
      <c r="J92" s="34" t="s">
        <v>6026</v>
      </c>
      <c r="K92" s="37" t="s">
        <v>6027</v>
      </c>
      <c r="L92" s="38">
        <v>41596</v>
      </c>
      <c r="M92" s="39">
        <v>41776</v>
      </c>
      <c r="N92" s="42">
        <v>854463.5</v>
      </c>
      <c r="O92" s="85"/>
      <c r="P92" s="86">
        <v>42050</v>
      </c>
      <c r="Q92" s="41">
        <v>68765.210000000079</v>
      </c>
      <c r="R92" s="41">
        <v>923228.71000000008</v>
      </c>
      <c r="S92" s="80"/>
      <c r="T92" s="81"/>
      <c r="U92" s="80"/>
      <c r="V92" s="80"/>
      <c r="W92" s="42"/>
      <c r="X92" s="42"/>
      <c r="Y92" s="34" t="s">
        <v>4321</v>
      </c>
      <c r="Z92" s="19" t="s">
        <v>7038</v>
      </c>
      <c r="AA92" s="28" t="s">
        <v>7114</v>
      </c>
      <c r="AB92" s="56">
        <v>43423</v>
      </c>
      <c r="AC92" s="28" t="s">
        <v>7115</v>
      </c>
      <c r="AD92" s="28" t="s">
        <v>7116</v>
      </c>
      <c r="AE92" s="54" t="s">
        <v>7145</v>
      </c>
      <c r="AF92" s="54"/>
      <c r="AG92" s="54" t="s">
        <v>7146</v>
      </c>
      <c r="AH92" s="53" t="s">
        <v>1591</v>
      </c>
      <c r="AI92" s="53" t="s">
        <v>2686</v>
      </c>
      <c r="AJ92" s="53" t="s">
        <v>1591</v>
      </c>
    </row>
    <row r="93" spans="1:36" s="3" customFormat="1" ht="72" x14ac:dyDescent="0.25">
      <c r="A93" s="17" t="s">
        <v>182</v>
      </c>
      <c r="B93" s="18" t="s">
        <v>2307</v>
      </c>
      <c r="C93" s="19" t="s">
        <v>4034</v>
      </c>
      <c r="D93" s="45" t="s">
        <v>4035</v>
      </c>
      <c r="E93" s="50"/>
      <c r="F93" s="58"/>
      <c r="G93" s="51"/>
      <c r="H93" s="51"/>
      <c r="I93" s="50" t="s">
        <v>544</v>
      </c>
      <c r="J93" s="58" t="s">
        <v>2631</v>
      </c>
      <c r="K93" s="52" t="s">
        <v>4185</v>
      </c>
      <c r="L93" s="59">
        <v>42795</v>
      </c>
      <c r="M93" s="60">
        <f>L93+120</f>
        <v>42915</v>
      </c>
      <c r="N93" s="51">
        <v>909314.79</v>
      </c>
      <c r="O93" s="59">
        <v>42915</v>
      </c>
      <c r="P93" s="59">
        <v>0</v>
      </c>
      <c r="Q93" s="51"/>
      <c r="R93" s="51">
        <f t="shared" ref="R93:R98" si="2">N93+Q93</f>
        <v>909314.79</v>
      </c>
      <c r="S93" s="51" t="s">
        <v>4197</v>
      </c>
      <c r="T93" s="52"/>
      <c r="U93" s="51">
        <v>907397.96</v>
      </c>
      <c r="V93" s="51"/>
      <c r="W93" s="51"/>
      <c r="X93" s="51"/>
      <c r="Y93" s="19" t="s">
        <v>149</v>
      </c>
      <c r="Z93" s="19"/>
      <c r="AA93" s="28" t="s">
        <v>7114</v>
      </c>
      <c r="AB93" s="56">
        <v>43423</v>
      </c>
      <c r="AC93" s="28" t="s">
        <v>7115</v>
      </c>
      <c r="AD93" s="28" t="s">
        <v>7116</v>
      </c>
      <c r="AE93" s="54" t="s">
        <v>7123</v>
      </c>
      <c r="AF93" s="54"/>
      <c r="AG93" s="54" t="s">
        <v>7125</v>
      </c>
      <c r="AH93" s="53" t="s">
        <v>1591</v>
      </c>
      <c r="AI93" s="53" t="s">
        <v>2686</v>
      </c>
      <c r="AJ93" s="53" t="s">
        <v>1591</v>
      </c>
    </row>
    <row r="94" spans="1:36" s="3" customFormat="1" ht="72" x14ac:dyDescent="0.25">
      <c r="A94" s="17" t="s">
        <v>182</v>
      </c>
      <c r="B94" s="18" t="s">
        <v>2307</v>
      </c>
      <c r="C94" s="19" t="s">
        <v>4015</v>
      </c>
      <c r="D94" s="45" t="s">
        <v>4016</v>
      </c>
      <c r="E94" s="50"/>
      <c r="F94" s="58"/>
      <c r="G94" s="51"/>
      <c r="H94" s="51"/>
      <c r="I94" s="50" t="s">
        <v>327</v>
      </c>
      <c r="J94" s="58" t="s">
        <v>2921</v>
      </c>
      <c r="K94" s="52" t="s">
        <v>4167</v>
      </c>
      <c r="L94" s="59">
        <v>42752</v>
      </c>
      <c r="M94" s="60">
        <f>L94+180</f>
        <v>42932</v>
      </c>
      <c r="N94" s="51">
        <v>707592</v>
      </c>
      <c r="O94" s="59">
        <v>42926</v>
      </c>
      <c r="P94" s="59" t="s">
        <v>4282</v>
      </c>
      <c r="Q94" s="51"/>
      <c r="R94" s="51">
        <f t="shared" si="2"/>
        <v>707592</v>
      </c>
      <c r="S94" s="51" t="s">
        <v>4197</v>
      </c>
      <c r="T94" s="52"/>
      <c r="U94" s="51">
        <v>521310.25</v>
      </c>
      <c r="V94" s="51"/>
      <c r="W94" s="51"/>
      <c r="X94" s="51"/>
      <c r="Y94" s="19" t="s">
        <v>149</v>
      </c>
      <c r="Z94" s="19"/>
      <c r="AA94" s="28" t="s">
        <v>7114</v>
      </c>
      <c r="AB94" s="56">
        <v>43423</v>
      </c>
      <c r="AC94" s="28" t="s">
        <v>7115</v>
      </c>
      <c r="AD94" s="28" t="s">
        <v>7116</v>
      </c>
      <c r="AE94" s="54" t="s">
        <v>7123</v>
      </c>
      <c r="AF94" s="54"/>
      <c r="AG94" s="54" t="s">
        <v>7125</v>
      </c>
      <c r="AH94" s="53" t="s">
        <v>1591</v>
      </c>
      <c r="AI94" s="53" t="s">
        <v>2686</v>
      </c>
      <c r="AJ94" s="53" t="s">
        <v>1591</v>
      </c>
    </row>
    <row r="95" spans="1:36" s="3" customFormat="1" ht="72" x14ac:dyDescent="0.25">
      <c r="A95" s="17" t="s">
        <v>182</v>
      </c>
      <c r="B95" s="18" t="s">
        <v>2307</v>
      </c>
      <c r="C95" s="19" t="s">
        <v>4027</v>
      </c>
      <c r="D95" s="45" t="s">
        <v>2621</v>
      </c>
      <c r="E95" s="50"/>
      <c r="F95" s="58"/>
      <c r="G95" s="51"/>
      <c r="H95" s="51"/>
      <c r="I95" s="50" t="s">
        <v>2622</v>
      </c>
      <c r="J95" s="58" t="s">
        <v>2623</v>
      </c>
      <c r="K95" s="52" t="s">
        <v>4180</v>
      </c>
      <c r="L95" s="59">
        <v>42646</v>
      </c>
      <c r="M95" s="60">
        <f>L95+360</f>
        <v>43006</v>
      </c>
      <c r="N95" s="51">
        <v>587269.32999999996</v>
      </c>
      <c r="O95" s="59">
        <v>43010</v>
      </c>
      <c r="P95" s="59">
        <v>0</v>
      </c>
      <c r="Q95" s="51"/>
      <c r="R95" s="51">
        <f t="shared" si="2"/>
        <v>587269.32999999996</v>
      </c>
      <c r="S95" s="51" t="s">
        <v>4197</v>
      </c>
      <c r="T95" s="52"/>
      <c r="U95" s="51">
        <v>245932.05</v>
      </c>
      <c r="V95" s="51"/>
      <c r="W95" s="51"/>
      <c r="X95" s="51"/>
      <c r="Y95" s="19" t="s">
        <v>149</v>
      </c>
      <c r="Z95" s="19"/>
      <c r="AA95" s="28" t="s">
        <v>7114</v>
      </c>
      <c r="AB95" s="56">
        <v>43423</v>
      </c>
      <c r="AC95" s="28" t="s">
        <v>7115</v>
      </c>
      <c r="AD95" s="28" t="s">
        <v>7116</v>
      </c>
      <c r="AE95" s="54" t="s">
        <v>7123</v>
      </c>
      <c r="AF95" s="54"/>
      <c r="AG95" s="54" t="s">
        <v>7125</v>
      </c>
      <c r="AH95" s="53" t="s">
        <v>1591</v>
      </c>
      <c r="AI95" s="53" t="s">
        <v>2686</v>
      </c>
      <c r="AJ95" s="53" t="s">
        <v>1591</v>
      </c>
    </row>
    <row r="96" spans="1:36" s="3" customFormat="1" ht="72" x14ac:dyDescent="0.25">
      <c r="A96" s="17" t="s">
        <v>182</v>
      </c>
      <c r="B96" s="18" t="s">
        <v>2307</v>
      </c>
      <c r="C96" s="19" t="s">
        <v>4042</v>
      </c>
      <c r="D96" s="45" t="s">
        <v>4043</v>
      </c>
      <c r="E96" s="50"/>
      <c r="F96" s="58"/>
      <c r="G96" s="51"/>
      <c r="H96" s="51"/>
      <c r="I96" s="50" t="s">
        <v>540</v>
      </c>
      <c r="J96" s="58" t="s">
        <v>4165</v>
      </c>
      <c r="K96" s="52" t="s">
        <v>4192</v>
      </c>
      <c r="L96" s="59">
        <v>42901</v>
      </c>
      <c r="M96" s="60">
        <f>L96+120</f>
        <v>43021</v>
      </c>
      <c r="N96" s="51">
        <v>554600</v>
      </c>
      <c r="O96" s="59">
        <v>43132</v>
      </c>
      <c r="P96" s="59">
        <f>M96+120</f>
        <v>43141</v>
      </c>
      <c r="Q96" s="51"/>
      <c r="R96" s="51">
        <f t="shared" si="2"/>
        <v>554600</v>
      </c>
      <c r="S96" s="51" t="s">
        <v>4197</v>
      </c>
      <c r="T96" s="52"/>
      <c r="U96" s="51">
        <v>538210.25</v>
      </c>
      <c r="V96" s="51"/>
      <c r="W96" s="51"/>
      <c r="X96" s="51"/>
      <c r="Y96" s="19" t="s">
        <v>149</v>
      </c>
      <c r="Z96" s="19"/>
      <c r="AA96" s="28" t="s">
        <v>7114</v>
      </c>
      <c r="AB96" s="56">
        <v>43423</v>
      </c>
      <c r="AC96" s="28" t="s">
        <v>7115</v>
      </c>
      <c r="AD96" s="28" t="s">
        <v>7116</v>
      </c>
      <c r="AE96" s="54" t="s">
        <v>7123</v>
      </c>
      <c r="AF96" s="54"/>
      <c r="AG96" s="54" t="s">
        <v>7124</v>
      </c>
      <c r="AH96" s="53" t="s">
        <v>1591</v>
      </c>
      <c r="AI96" s="53" t="s">
        <v>2686</v>
      </c>
      <c r="AJ96" s="53" t="s">
        <v>1591</v>
      </c>
    </row>
    <row r="97" spans="1:36" s="3" customFormat="1" ht="72" x14ac:dyDescent="0.25">
      <c r="A97" s="17" t="s">
        <v>182</v>
      </c>
      <c r="B97" s="18" t="s">
        <v>2307</v>
      </c>
      <c r="C97" s="19" t="s">
        <v>4030</v>
      </c>
      <c r="D97" s="45" t="s">
        <v>4031</v>
      </c>
      <c r="E97" s="50"/>
      <c r="F97" s="58"/>
      <c r="G97" s="51"/>
      <c r="H97" s="51"/>
      <c r="I97" s="50" t="s">
        <v>327</v>
      </c>
      <c r="J97" s="58" t="s">
        <v>2921</v>
      </c>
      <c r="K97" s="52" t="s">
        <v>4183</v>
      </c>
      <c r="L97" s="59">
        <v>42887</v>
      </c>
      <c r="M97" s="60">
        <f>L97+180</f>
        <v>43067</v>
      </c>
      <c r="N97" s="51">
        <v>517882.3</v>
      </c>
      <c r="O97" s="59" t="s">
        <v>46</v>
      </c>
      <c r="P97" s="59">
        <f>M97+180</f>
        <v>43247</v>
      </c>
      <c r="Q97" s="51"/>
      <c r="R97" s="51">
        <f t="shared" si="2"/>
        <v>517882.3</v>
      </c>
      <c r="S97" s="51" t="s">
        <v>4197</v>
      </c>
      <c r="T97" s="52"/>
      <c r="U97" s="51">
        <v>290581.2</v>
      </c>
      <c r="V97" s="51"/>
      <c r="W97" s="51"/>
      <c r="X97" s="51"/>
      <c r="Y97" s="19" t="s">
        <v>175</v>
      </c>
      <c r="Z97" s="19"/>
      <c r="AA97" s="28" t="s">
        <v>7114</v>
      </c>
      <c r="AB97" s="56">
        <v>43423</v>
      </c>
      <c r="AC97" s="28" t="s">
        <v>7115</v>
      </c>
      <c r="AD97" s="28" t="s">
        <v>7116</v>
      </c>
      <c r="AE97" s="54" t="s">
        <v>7123</v>
      </c>
      <c r="AF97" s="54"/>
      <c r="AG97" s="54" t="s">
        <v>7124</v>
      </c>
      <c r="AH97" s="53" t="s">
        <v>1591</v>
      </c>
      <c r="AI97" s="53" t="s">
        <v>2686</v>
      </c>
      <c r="AJ97" s="53" t="s">
        <v>1591</v>
      </c>
    </row>
    <row r="98" spans="1:36" s="3" customFormat="1" ht="72" x14ac:dyDescent="0.25">
      <c r="A98" s="17" t="s">
        <v>182</v>
      </c>
      <c r="B98" s="18" t="s">
        <v>2307</v>
      </c>
      <c r="C98" s="19" t="s">
        <v>4038</v>
      </c>
      <c r="D98" s="45" t="s">
        <v>4039</v>
      </c>
      <c r="E98" s="50"/>
      <c r="F98" s="58"/>
      <c r="G98" s="51"/>
      <c r="H98" s="51"/>
      <c r="I98" s="50" t="s">
        <v>540</v>
      </c>
      <c r="J98" s="58" t="s">
        <v>4165</v>
      </c>
      <c r="K98" s="52" t="s">
        <v>4188</v>
      </c>
      <c r="L98" s="59">
        <v>42842</v>
      </c>
      <c r="M98" s="60">
        <f>L98+150</f>
        <v>42992</v>
      </c>
      <c r="N98" s="51">
        <v>445283.05</v>
      </c>
      <c r="O98" s="59">
        <v>42992</v>
      </c>
      <c r="P98" s="59">
        <v>0</v>
      </c>
      <c r="Q98" s="51"/>
      <c r="R98" s="51">
        <f t="shared" si="2"/>
        <v>445283.05</v>
      </c>
      <c r="S98" s="51" t="s">
        <v>4197</v>
      </c>
      <c r="T98" s="52"/>
      <c r="U98" s="51">
        <v>444555.36</v>
      </c>
      <c r="V98" s="51"/>
      <c r="W98" s="51"/>
      <c r="X98" s="51"/>
      <c r="Y98" s="19" t="s">
        <v>149</v>
      </c>
      <c r="Z98" s="19"/>
      <c r="AA98" s="28" t="s">
        <v>7114</v>
      </c>
      <c r="AB98" s="56">
        <v>43423</v>
      </c>
      <c r="AC98" s="28" t="s">
        <v>7115</v>
      </c>
      <c r="AD98" s="28" t="s">
        <v>7116</v>
      </c>
      <c r="AE98" s="54" t="s">
        <v>7123</v>
      </c>
      <c r="AF98" s="54"/>
      <c r="AG98" s="54" t="s">
        <v>7125</v>
      </c>
      <c r="AH98" s="53" t="s">
        <v>1591</v>
      </c>
      <c r="AI98" s="53" t="s">
        <v>2686</v>
      </c>
      <c r="AJ98" s="53" t="s">
        <v>1591</v>
      </c>
    </row>
    <row r="99" spans="1:36" s="3" customFormat="1" ht="72" x14ac:dyDescent="0.25">
      <c r="A99" s="17" t="s">
        <v>182</v>
      </c>
      <c r="B99" s="18" t="s">
        <v>2307</v>
      </c>
      <c r="C99" s="76" t="s">
        <v>6028</v>
      </c>
      <c r="D99" s="45" t="s">
        <v>6029</v>
      </c>
      <c r="E99" s="78"/>
      <c r="F99" s="79"/>
      <c r="G99" s="80"/>
      <c r="H99" s="80"/>
      <c r="I99" s="78" t="s">
        <v>6030</v>
      </c>
      <c r="J99" s="79" t="s">
        <v>6031</v>
      </c>
      <c r="K99" s="81" t="s">
        <v>6032</v>
      </c>
      <c r="L99" s="82">
        <v>42660</v>
      </c>
      <c r="M99" s="83" t="s">
        <v>4455</v>
      </c>
      <c r="N99" s="80">
        <v>415366</v>
      </c>
      <c r="O99" s="82"/>
      <c r="P99" s="84">
        <v>0</v>
      </c>
      <c r="Q99" s="80">
        <v>0</v>
      </c>
      <c r="R99" s="80">
        <v>415366</v>
      </c>
      <c r="S99" s="80" t="s">
        <v>5866</v>
      </c>
      <c r="T99" s="81"/>
      <c r="U99" s="80">
        <v>68226.399999999994</v>
      </c>
      <c r="V99" s="80"/>
      <c r="W99" s="80"/>
      <c r="X99" s="80"/>
      <c r="Y99" s="76" t="s">
        <v>186</v>
      </c>
      <c r="Z99" s="19" t="s">
        <v>7038</v>
      </c>
      <c r="AA99" s="28" t="s">
        <v>7114</v>
      </c>
      <c r="AB99" s="56">
        <v>43423</v>
      </c>
      <c r="AC99" s="28" t="s">
        <v>7115</v>
      </c>
      <c r="AD99" s="28" t="s">
        <v>7116</v>
      </c>
      <c r="AE99" s="54" t="s">
        <v>7123</v>
      </c>
      <c r="AF99" s="54"/>
      <c r="AG99" s="54" t="s">
        <v>5548</v>
      </c>
      <c r="AH99" s="53" t="s">
        <v>39</v>
      </c>
      <c r="AI99" s="53" t="s">
        <v>2686</v>
      </c>
      <c r="AJ99" s="53" t="s">
        <v>1591</v>
      </c>
    </row>
    <row r="100" spans="1:36" s="3" customFormat="1" ht="72" x14ac:dyDescent="0.25">
      <c r="A100" s="17" t="s">
        <v>182</v>
      </c>
      <c r="B100" s="18" t="s">
        <v>2307</v>
      </c>
      <c r="C100" s="19" t="s">
        <v>4036</v>
      </c>
      <c r="D100" s="45" t="s">
        <v>4037</v>
      </c>
      <c r="E100" s="50"/>
      <c r="F100" s="58"/>
      <c r="G100" s="51"/>
      <c r="H100" s="51"/>
      <c r="I100" s="50" t="s">
        <v>2612</v>
      </c>
      <c r="J100" s="58" t="s">
        <v>4186</v>
      </c>
      <c r="K100" s="52" t="s">
        <v>4187</v>
      </c>
      <c r="L100" s="59">
        <v>42916</v>
      </c>
      <c r="M100" s="60">
        <f>L100+180</f>
        <v>43096</v>
      </c>
      <c r="N100" s="51">
        <v>398162.66</v>
      </c>
      <c r="O100" s="59" t="s">
        <v>46</v>
      </c>
      <c r="P100" s="59">
        <f>M100+90</f>
        <v>43186</v>
      </c>
      <c r="Q100" s="51"/>
      <c r="R100" s="51">
        <f>N100+Q100</f>
        <v>398162.66</v>
      </c>
      <c r="S100" s="51" t="s">
        <v>4197</v>
      </c>
      <c r="T100" s="52"/>
      <c r="U100" s="51">
        <v>213823.92</v>
      </c>
      <c r="V100" s="51"/>
      <c r="W100" s="51"/>
      <c r="X100" s="51"/>
      <c r="Y100" s="19" t="s">
        <v>175</v>
      </c>
      <c r="Z100" s="19"/>
      <c r="AA100" s="28" t="s">
        <v>7114</v>
      </c>
      <c r="AB100" s="56">
        <v>43423</v>
      </c>
      <c r="AC100" s="28" t="s">
        <v>7115</v>
      </c>
      <c r="AD100" s="28" t="s">
        <v>7116</v>
      </c>
      <c r="AE100" s="54" t="s">
        <v>7123</v>
      </c>
      <c r="AF100" s="54"/>
      <c r="AG100" s="54" t="s">
        <v>7124</v>
      </c>
      <c r="AH100" s="53" t="s">
        <v>39</v>
      </c>
      <c r="AI100" s="53" t="s">
        <v>2686</v>
      </c>
      <c r="AJ100" s="53" t="s">
        <v>1591</v>
      </c>
    </row>
    <row r="101" spans="1:36" s="3" customFormat="1" ht="72" x14ac:dyDescent="0.25">
      <c r="A101" s="17" t="s">
        <v>182</v>
      </c>
      <c r="B101" s="18" t="s">
        <v>2307</v>
      </c>
      <c r="C101" s="76" t="s">
        <v>6033</v>
      </c>
      <c r="D101" s="45" t="s">
        <v>6034</v>
      </c>
      <c r="E101" s="78"/>
      <c r="F101" s="79"/>
      <c r="G101" s="80">
        <v>0</v>
      </c>
      <c r="H101" s="80">
        <v>0</v>
      </c>
      <c r="I101" s="78" t="s">
        <v>2622</v>
      </c>
      <c r="J101" s="79" t="s">
        <v>2623</v>
      </c>
      <c r="K101" s="81" t="s">
        <v>6035</v>
      </c>
      <c r="L101" s="82">
        <v>42472</v>
      </c>
      <c r="M101" s="83" t="s">
        <v>150</v>
      </c>
      <c r="N101" s="80">
        <v>411491.74</v>
      </c>
      <c r="O101" s="82" t="s">
        <v>149</v>
      </c>
      <c r="P101" s="84" t="s">
        <v>6036</v>
      </c>
      <c r="Q101" s="80">
        <v>-65020.539999999979</v>
      </c>
      <c r="R101" s="80">
        <v>346471.2</v>
      </c>
      <c r="S101" s="80" t="s">
        <v>5866</v>
      </c>
      <c r="T101" s="81"/>
      <c r="U101" s="80">
        <v>197967.41</v>
      </c>
      <c r="V101" s="80"/>
      <c r="W101" s="80"/>
      <c r="X101" s="80">
        <v>0</v>
      </c>
      <c r="Y101" s="76" t="s">
        <v>186</v>
      </c>
      <c r="Z101" s="19" t="s">
        <v>7038</v>
      </c>
      <c r="AA101" s="28" t="s">
        <v>7114</v>
      </c>
      <c r="AB101" s="56">
        <v>43423</v>
      </c>
      <c r="AC101" s="28" t="s">
        <v>7115</v>
      </c>
      <c r="AD101" s="28" t="s">
        <v>7116</v>
      </c>
      <c r="AE101" s="54" t="s">
        <v>7147</v>
      </c>
      <c r="AF101" s="54"/>
      <c r="AG101" s="54" t="s">
        <v>186</v>
      </c>
      <c r="AH101" s="53" t="s">
        <v>39</v>
      </c>
      <c r="AI101" s="53" t="s">
        <v>2686</v>
      </c>
      <c r="AJ101" s="53" t="s">
        <v>1591</v>
      </c>
    </row>
    <row r="102" spans="1:36" s="3" customFormat="1" ht="72" x14ac:dyDescent="0.25">
      <c r="A102" s="17" t="s">
        <v>182</v>
      </c>
      <c r="B102" s="18" t="s">
        <v>2307</v>
      </c>
      <c r="C102" s="19" t="s">
        <v>2624</v>
      </c>
      <c r="D102" s="45" t="s">
        <v>4046</v>
      </c>
      <c r="E102" s="50" t="s">
        <v>4193</v>
      </c>
      <c r="F102" s="58" t="s">
        <v>685</v>
      </c>
      <c r="G102" s="51">
        <v>30991441.73</v>
      </c>
      <c r="H102" s="51">
        <v>6749999.8399999999</v>
      </c>
      <c r="I102" s="50" t="s">
        <v>620</v>
      </c>
      <c r="J102" s="58" t="s">
        <v>621</v>
      </c>
      <c r="K102" s="52" t="s">
        <v>4195</v>
      </c>
      <c r="L102" s="59">
        <v>42646</v>
      </c>
      <c r="M102" s="60">
        <f>L102+240</f>
        <v>42886</v>
      </c>
      <c r="N102" s="51">
        <v>301516.61</v>
      </c>
      <c r="O102" s="59">
        <v>42918</v>
      </c>
      <c r="P102" s="59">
        <f>M102+60</f>
        <v>42946</v>
      </c>
      <c r="Q102" s="51"/>
      <c r="R102" s="51">
        <f>N102+Q102</f>
        <v>301516.61</v>
      </c>
      <c r="S102" s="51" t="s">
        <v>4197</v>
      </c>
      <c r="T102" s="52"/>
      <c r="U102" s="51">
        <v>204121.65</v>
      </c>
      <c r="V102" s="51"/>
      <c r="W102" s="51"/>
      <c r="X102" s="51"/>
      <c r="Y102" s="19" t="s">
        <v>149</v>
      </c>
      <c r="Z102" s="19"/>
      <c r="AA102" s="28" t="s">
        <v>7114</v>
      </c>
      <c r="AB102" s="56">
        <v>43423</v>
      </c>
      <c r="AC102" s="28" t="s">
        <v>7115</v>
      </c>
      <c r="AD102" s="28" t="s">
        <v>7116</v>
      </c>
      <c r="AE102" s="54" t="s">
        <v>7123</v>
      </c>
      <c r="AF102" s="54"/>
      <c r="AG102" s="54" t="s">
        <v>7125</v>
      </c>
      <c r="AH102" s="53" t="s">
        <v>39</v>
      </c>
      <c r="AI102" s="53" t="s">
        <v>2686</v>
      </c>
      <c r="AJ102" s="53" t="s">
        <v>1591</v>
      </c>
    </row>
    <row r="103" spans="1:36" s="3" customFormat="1" ht="72" x14ac:dyDescent="0.25">
      <c r="A103" s="17" t="s">
        <v>182</v>
      </c>
      <c r="B103" s="18" t="s">
        <v>2307</v>
      </c>
      <c r="C103" s="76" t="s">
        <v>6037</v>
      </c>
      <c r="D103" s="45" t="s">
        <v>6038</v>
      </c>
      <c r="E103" s="78" t="s">
        <v>6039</v>
      </c>
      <c r="F103" s="79" t="s">
        <v>6040</v>
      </c>
      <c r="G103" s="80">
        <v>5929916.9000000004</v>
      </c>
      <c r="H103" s="80" t="s">
        <v>5866</v>
      </c>
      <c r="I103" s="78" t="s">
        <v>6014</v>
      </c>
      <c r="J103" s="79" t="s">
        <v>6015</v>
      </c>
      <c r="K103" s="81" t="s">
        <v>6041</v>
      </c>
      <c r="L103" s="82">
        <v>42264</v>
      </c>
      <c r="M103" s="83" t="s">
        <v>4455</v>
      </c>
      <c r="N103" s="80">
        <v>329816.65000000002</v>
      </c>
      <c r="O103" s="82"/>
      <c r="P103" s="84" t="s">
        <v>6042</v>
      </c>
      <c r="Q103" s="80">
        <v>-68810.419999999984</v>
      </c>
      <c r="R103" s="80">
        <v>261006.23000000004</v>
      </c>
      <c r="S103" s="80" t="s">
        <v>5866</v>
      </c>
      <c r="T103" s="81"/>
      <c r="U103" s="80">
        <v>232719.96</v>
      </c>
      <c r="V103" s="80"/>
      <c r="W103" s="80"/>
      <c r="X103" s="80">
        <v>32134.71</v>
      </c>
      <c r="Y103" s="76" t="s">
        <v>186</v>
      </c>
      <c r="Z103" s="19" t="s">
        <v>7038</v>
      </c>
      <c r="AA103" s="28" t="s">
        <v>7114</v>
      </c>
      <c r="AB103" s="56">
        <v>43423</v>
      </c>
      <c r="AC103" s="28" t="s">
        <v>7115</v>
      </c>
      <c r="AD103" s="28" t="s">
        <v>7116</v>
      </c>
      <c r="AE103" s="54" t="s">
        <v>7123</v>
      </c>
      <c r="AF103" s="54"/>
      <c r="AG103" s="54" t="s">
        <v>7124</v>
      </c>
      <c r="AH103" s="53" t="s">
        <v>39</v>
      </c>
      <c r="AI103" s="53" t="s">
        <v>2686</v>
      </c>
      <c r="AJ103" s="53" t="s">
        <v>1591</v>
      </c>
    </row>
    <row r="104" spans="1:36" s="3" customFormat="1" ht="72" x14ac:dyDescent="0.25">
      <c r="A104" s="17" t="s">
        <v>182</v>
      </c>
      <c r="B104" s="18" t="s">
        <v>2307</v>
      </c>
      <c r="C104" s="19" t="s">
        <v>2618</v>
      </c>
      <c r="D104" s="45" t="s">
        <v>4026</v>
      </c>
      <c r="E104" s="50"/>
      <c r="F104" s="58"/>
      <c r="G104" s="51"/>
      <c r="H104" s="51"/>
      <c r="I104" s="50" t="s">
        <v>2619</v>
      </c>
      <c r="J104" s="58" t="s">
        <v>2620</v>
      </c>
      <c r="K104" s="52" t="s">
        <v>4179</v>
      </c>
      <c r="L104" s="59">
        <v>42663</v>
      </c>
      <c r="M104" s="60">
        <f>L104+90</f>
        <v>42753</v>
      </c>
      <c r="N104" s="51">
        <v>169420.46</v>
      </c>
      <c r="O104" s="59">
        <v>42755</v>
      </c>
      <c r="P104" s="59">
        <v>0</v>
      </c>
      <c r="Q104" s="51"/>
      <c r="R104" s="51">
        <f>N104+Q104</f>
        <v>169420.46</v>
      </c>
      <c r="S104" s="51" t="s">
        <v>4197</v>
      </c>
      <c r="T104" s="52"/>
      <c r="U104" s="51">
        <v>57078.15</v>
      </c>
      <c r="V104" s="51"/>
      <c r="W104" s="51"/>
      <c r="X104" s="51"/>
      <c r="Y104" s="19" t="s">
        <v>149</v>
      </c>
      <c r="Z104" s="19"/>
      <c r="AA104" s="28" t="s">
        <v>7114</v>
      </c>
      <c r="AB104" s="56">
        <v>43423</v>
      </c>
      <c r="AC104" s="28" t="s">
        <v>7115</v>
      </c>
      <c r="AD104" s="28" t="s">
        <v>7116</v>
      </c>
      <c r="AE104" s="54" t="s">
        <v>7123</v>
      </c>
      <c r="AF104" s="54"/>
      <c r="AG104" s="54" t="s">
        <v>7125</v>
      </c>
      <c r="AH104" s="53" t="s">
        <v>39</v>
      </c>
      <c r="AI104" s="53" t="s">
        <v>2686</v>
      </c>
      <c r="AJ104" s="53" t="s">
        <v>1591</v>
      </c>
    </row>
    <row r="105" spans="1:36" s="3" customFormat="1" ht="72" x14ac:dyDescent="0.25">
      <c r="A105" s="35" t="s">
        <v>182</v>
      </c>
      <c r="B105" s="18" t="s">
        <v>2307</v>
      </c>
      <c r="C105" s="76"/>
      <c r="D105" s="43" t="s">
        <v>6043</v>
      </c>
      <c r="E105" s="78"/>
      <c r="F105" s="36"/>
      <c r="G105" s="80"/>
      <c r="H105" s="80"/>
      <c r="I105" s="36" t="s">
        <v>6044</v>
      </c>
      <c r="J105" s="34" t="s">
        <v>6045</v>
      </c>
      <c r="K105" s="37" t="s">
        <v>6046</v>
      </c>
      <c r="L105" s="38" t="s">
        <v>2692</v>
      </c>
      <c r="M105" s="39">
        <v>42369</v>
      </c>
      <c r="N105" s="42">
        <v>142585</v>
      </c>
      <c r="O105" s="85" t="s">
        <v>6047</v>
      </c>
      <c r="P105" s="86">
        <v>42369</v>
      </c>
      <c r="Q105" s="41"/>
      <c r="R105" s="41">
        <v>142585</v>
      </c>
      <c r="S105" s="80"/>
      <c r="T105" s="81"/>
      <c r="U105" s="80"/>
      <c r="V105" s="80"/>
      <c r="W105" s="42"/>
      <c r="X105" s="42"/>
      <c r="Y105" s="34" t="s">
        <v>4321</v>
      </c>
      <c r="Z105" s="19" t="s">
        <v>7038</v>
      </c>
      <c r="AA105" s="28" t="s">
        <v>7114</v>
      </c>
      <c r="AB105" s="56">
        <v>43423</v>
      </c>
      <c r="AC105" s="28" t="s">
        <v>7115</v>
      </c>
      <c r="AD105" s="28" t="s">
        <v>7116</v>
      </c>
      <c r="AE105" s="54" t="s">
        <v>7123</v>
      </c>
      <c r="AF105" s="54"/>
      <c r="AG105" s="54" t="s">
        <v>7148</v>
      </c>
      <c r="AH105" s="53" t="s">
        <v>39</v>
      </c>
      <c r="AI105" s="53" t="s">
        <v>2686</v>
      </c>
      <c r="AJ105" s="53" t="s">
        <v>1591</v>
      </c>
    </row>
    <row r="106" spans="1:36" s="3" customFormat="1" ht="72" x14ac:dyDescent="0.25">
      <c r="A106" s="17" t="s">
        <v>182</v>
      </c>
      <c r="B106" s="18" t="s">
        <v>2307</v>
      </c>
      <c r="C106" s="76" t="s">
        <v>6049</v>
      </c>
      <c r="D106" s="45" t="s">
        <v>6050</v>
      </c>
      <c r="E106" s="78"/>
      <c r="F106" s="79"/>
      <c r="G106" s="80">
        <v>0</v>
      </c>
      <c r="H106" s="80">
        <v>0</v>
      </c>
      <c r="I106" s="78" t="s">
        <v>6048</v>
      </c>
      <c r="J106" s="79" t="s">
        <v>2620</v>
      </c>
      <c r="K106" s="81" t="s">
        <v>6051</v>
      </c>
      <c r="L106" s="82">
        <v>42550</v>
      </c>
      <c r="M106" s="83" t="s">
        <v>6052</v>
      </c>
      <c r="N106" s="80">
        <v>56490.47</v>
      </c>
      <c r="O106" s="82">
        <v>42714</v>
      </c>
      <c r="P106" s="84"/>
      <c r="Q106" s="80">
        <v>0</v>
      </c>
      <c r="R106" s="80">
        <v>56490.47</v>
      </c>
      <c r="S106" s="80" t="s">
        <v>5866</v>
      </c>
      <c r="T106" s="81"/>
      <c r="U106" s="80">
        <v>56490.47</v>
      </c>
      <c r="V106" s="80"/>
      <c r="W106" s="80"/>
      <c r="X106" s="80"/>
      <c r="Y106" s="76" t="s">
        <v>41</v>
      </c>
      <c r="Z106" s="19" t="s">
        <v>7038</v>
      </c>
      <c r="AA106" s="28" t="s">
        <v>7114</v>
      </c>
      <c r="AB106" s="56">
        <v>43423</v>
      </c>
      <c r="AC106" s="28" t="s">
        <v>7115</v>
      </c>
      <c r="AD106" s="28" t="s">
        <v>7116</v>
      </c>
      <c r="AE106" s="54" t="s">
        <v>7123</v>
      </c>
      <c r="AF106" s="54"/>
      <c r="AG106" s="54" t="s">
        <v>7149</v>
      </c>
      <c r="AH106" s="53" t="s">
        <v>39</v>
      </c>
      <c r="AI106" s="53" t="s">
        <v>2686</v>
      </c>
      <c r="AJ106" s="53" t="s">
        <v>1591</v>
      </c>
    </row>
    <row r="107" spans="1:36" s="3" customFormat="1" ht="72" x14ac:dyDescent="0.25">
      <c r="A107" s="17" t="s">
        <v>182</v>
      </c>
      <c r="B107" s="18" t="s">
        <v>2307</v>
      </c>
      <c r="C107" s="76" t="s">
        <v>5981</v>
      </c>
      <c r="D107" s="45" t="s">
        <v>5982</v>
      </c>
      <c r="E107" s="78" t="s">
        <v>5983</v>
      </c>
      <c r="F107" s="79" t="s">
        <v>2603</v>
      </c>
      <c r="G107" s="80">
        <v>29511001.829999998</v>
      </c>
      <c r="H107" s="80">
        <v>3279000.21</v>
      </c>
      <c r="I107" s="78" t="s">
        <v>2617</v>
      </c>
      <c r="J107" s="79" t="s">
        <v>2629</v>
      </c>
      <c r="K107" s="81" t="s">
        <v>6053</v>
      </c>
      <c r="L107" s="82">
        <v>42282</v>
      </c>
      <c r="M107" s="83" t="s">
        <v>5984</v>
      </c>
      <c r="N107" s="80"/>
      <c r="O107" s="82"/>
      <c r="P107" s="84"/>
      <c r="Q107" s="80">
        <v>0</v>
      </c>
      <c r="R107" s="80"/>
      <c r="S107" s="80"/>
      <c r="T107" s="81"/>
      <c r="U107" s="80">
        <v>181537.03</v>
      </c>
      <c r="V107" s="80"/>
      <c r="W107" s="80"/>
      <c r="X107" s="80">
        <v>12439095.220000001</v>
      </c>
      <c r="Y107" s="76" t="s">
        <v>186</v>
      </c>
      <c r="Z107" s="19" t="s">
        <v>7038</v>
      </c>
      <c r="AA107" s="28" t="s">
        <v>7114</v>
      </c>
      <c r="AB107" s="56">
        <v>43423</v>
      </c>
      <c r="AC107" s="28" t="s">
        <v>7115</v>
      </c>
      <c r="AD107" s="28" t="s">
        <v>7116</v>
      </c>
      <c r="AE107" s="54" t="s">
        <v>7123</v>
      </c>
      <c r="AF107" s="54"/>
      <c r="AG107" s="54" t="s">
        <v>7150</v>
      </c>
      <c r="AH107" s="53" t="s">
        <v>39</v>
      </c>
      <c r="AI107" s="53" t="s">
        <v>2686</v>
      </c>
      <c r="AJ107" s="53" t="s">
        <v>1591</v>
      </c>
    </row>
    <row r="108" spans="1:36" s="3" customFormat="1" ht="72" x14ac:dyDescent="0.25">
      <c r="A108" s="17" t="s">
        <v>182</v>
      </c>
      <c r="B108" s="18" t="s">
        <v>2307</v>
      </c>
      <c r="C108" s="76" t="s">
        <v>8541</v>
      </c>
      <c r="D108" s="45" t="s">
        <v>8542</v>
      </c>
      <c r="E108" s="78" t="s">
        <v>8543</v>
      </c>
      <c r="F108" s="79" t="s">
        <v>8544</v>
      </c>
      <c r="G108" s="87">
        <v>16433623.98</v>
      </c>
      <c r="H108" s="80"/>
      <c r="I108" s="78" t="s">
        <v>5977</v>
      </c>
      <c r="J108" s="79" t="s">
        <v>8545</v>
      </c>
      <c r="K108" s="81" t="s">
        <v>8546</v>
      </c>
      <c r="L108" s="82">
        <v>42972</v>
      </c>
      <c r="M108" s="116">
        <f>L108+17*30+3*30</f>
        <v>43572</v>
      </c>
      <c r="N108" s="87">
        <v>16433623.98</v>
      </c>
      <c r="O108" s="82"/>
      <c r="P108" s="84"/>
      <c r="Q108" s="87">
        <v>867005.61</v>
      </c>
      <c r="R108" s="87">
        <v>17300629.489999998</v>
      </c>
      <c r="S108" s="80"/>
      <c r="T108" s="81"/>
      <c r="U108" s="87">
        <v>1229581.67</v>
      </c>
      <c r="V108" s="80"/>
      <c r="W108" s="80"/>
      <c r="X108" s="80"/>
      <c r="Y108" s="76" t="s">
        <v>6333</v>
      </c>
      <c r="Z108" s="19" t="s">
        <v>8547</v>
      </c>
      <c r="AA108" s="28"/>
      <c r="AB108" s="56"/>
      <c r="AC108" s="28"/>
      <c r="AD108" s="28"/>
      <c r="AE108" s="54" t="s">
        <v>8548</v>
      </c>
      <c r="AF108" s="54"/>
      <c r="AG108" s="54"/>
      <c r="AH108" s="53" t="s">
        <v>39</v>
      </c>
      <c r="AI108" s="53" t="s">
        <v>2686</v>
      </c>
      <c r="AJ108" s="53" t="s">
        <v>1591</v>
      </c>
    </row>
    <row r="109" spans="1:36" s="3" customFormat="1" ht="120" x14ac:dyDescent="0.25">
      <c r="A109" s="35" t="s">
        <v>2685</v>
      </c>
      <c r="B109" s="34" t="s">
        <v>2693</v>
      </c>
      <c r="C109" s="76"/>
      <c r="D109" s="43" t="s">
        <v>6054</v>
      </c>
      <c r="E109" s="78"/>
      <c r="F109" s="36"/>
      <c r="G109" s="80"/>
      <c r="H109" s="80"/>
      <c r="I109" s="36" t="s">
        <v>514</v>
      </c>
      <c r="J109" s="34" t="s">
        <v>6055</v>
      </c>
      <c r="K109" s="37" t="s">
        <v>6056</v>
      </c>
      <c r="L109" s="38">
        <v>41689</v>
      </c>
      <c r="M109" s="39">
        <v>42049</v>
      </c>
      <c r="N109" s="42">
        <v>1229930</v>
      </c>
      <c r="O109" s="85">
        <v>42143</v>
      </c>
      <c r="P109" s="86">
        <v>42139</v>
      </c>
      <c r="Q109" s="41">
        <v>0</v>
      </c>
      <c r="R109" s="41">
        <v>1229930</v>
      </c>
      <c r="S109" s="80"/>
      <c r="T109" s="81"/>
      <c r="U109" s="80"/>
      <c r="V109" s="80"/>
      <c r="W109" s="42"/>
      <c r="X109" s="42">
        <v>421741.41</v>
      </c>
      <c r="Y109" s="34" t="s">
        <v>4321</v>
      </c>
      <c r="Z109" s="19" t="s">
        <v>7038</v>
      </c>
      <c r="AA109" s="28" t="s">
        <v>7151</v>
      </c>
      <c r="AB109" s="56">
        <v>43402</v>
      </c>
      <c r="AC109" s="28" t="s">
        <v>7152</v>
      </c>
      <c r="AD109" s="28" t="s">
        <v>7153</v>
      </c>
      <c r="AE109" s="54" t="s">
        <v>7154</v>
      </c>
      <c r="AF109" s="54"/>
      <c r="AG109" s="54" t="s">
        <v>7155</v>
      </c>
      <c r="AH109" s="53" t="s">
        <v>1591</v>
      </c>
      <c r="AI109" s="53" t="s">
        <v>2686</v>
      </c>
      <c r="AJ109" s="53" t="s">
        <v>1591</v>
      </c>
    </row>
    <row r="110" spans="1:36" s="3" customFormat="1" ht="36" x14ac:dyDescent="0.25">
      <c r="A110" s="17" t="s">
        <v>182</v>
      </c>
      <c r="B110" s="18" t="s">
        <v>2693</v>
      </c>
      <c r="C110" s="19" t="s">
        <v>4050</v>
      </c>
      <c r="D110" s="45" t="s">
        <v>4051</v>
      </c>
      <c r="E110" s="50"/>
      <c r="F110" s="58"/>
      <c r="G110" s="51"/>
      <c r="H110" s="51"/>
      <c r="I110" s="50" t="s">
        <v>4203</v>
      </c>
      <c r="J110" s="58" t="s">
        <v>4204</v>
      </c>
      <c r="K110" s="52" t="s">
        <v>4205</v>
      </c>
      <c r="L110" s="59">
        <v>42704</v>
      </c>
      <c r="M110" s="60">
        <f>L110+540</f>
        <v>43244</v>
      </c>
      <c r="N110" s="51">
        <v>193000</v>
      </c>
      <c r="O110" s="59">
        <v>43248</v>
      </c>
      <c r="P110" s="59"/>
      <c r="Q110" s="51">
        <v>0</v>
      </c>
      <c r="R110" s="51">
        <f>N110+Q110</f>
        <v>193000</v>
      </c>
      <c r="S110" s="51">
        <v>0</v>
      </c>
      <c r="T110" s="52" t="s">
        <v>579</v>
      </c>
      <c r="U110" s="51">
        <v>70031.42</v>
      </c>
      <c r="V110" s="51">
        <v>0</v>
      </c>
      <c r="W110" s="51">
        <v>0</v>
      </c>
      <c r="X110" s="51">
        <v>0</v>
      </c>
      <c r="Y110" s="19" t="s">
        <v>175</v>
      </c>
      <c r="Z110" s="19"/>
      <c r="AA110" s="28"/>
      <c r="AB110" s="56"/>
      <c r="AC110" s="28"/>
      <c r="AD110" s="28"/>
      <c r="AE110" s="54"/>
      <c r="AF110" s="54"/>
      <c r="AG110" s="54"/>
      <c r="AH110" s="53"/>
      <c r="AI110" s="53" t="s">
        <v>1591</v>
      </c>
      <c r="AJ110" s="53" t="s">
        <v>1591</v>
      </c>
    </row>
    <row r="111" spans="1:36" s="3" customFormat="1" ht="60" x14ac:dyDescent="0.25">
      <c r="A111" s="17" t="s">
        <v>182</v>
      </c>
      <c r="B111" s="18" t="s">
        <v>2693</v>
      </c>
      <c r="C111" s="19" t="s">
        <v>2636</v>
      </c>
      <c r="D111" s="45" t="s">
        <v>4049</v>
      </c>
      <c r="E111" s="50"/>
      <c r="F111" s="58"/>
      <c r="G111" s="51"/>
      <c r="H111" s="51"/>
      <c r="I111" s="50" t="s">
        <v>653</v>
      </c>
      <c r="J111" s="58" t="s">
        <v>4201</v>
      </c>
      <c r="K111" s="52" t="s">
        <v>3219</v>
      </c>
      <c r="L111" s="59">
        <v>42948</v>
      </c>
      <c r="M111" s="60">
        <f>L111+180</f>
        <v>43128</v>
      </c>
      <c r="N111" s="51">
        <v>38701.68</v>
      </c>
      <c r="O111" s="59">
        <v>43127</v>
      </c>
      <c r="P111" s="59">
        <v>0</v>
      </c>
      <c r="Q111" s="51">
        <v>0</v>
      </c>
      <c r="R111" s="51">
        <f>N111+Q111</f>
        <v>38701.68</v>
      </c>
      <c r="S111" s="51">
        <v>0</v>
      </c>
      <c r="T111" s="52" t="s">
        <v>81</v>
      </c>
      <c r="U111" s="51">
        <v>9860.83</v>
      </c>
      <c r="V111" s="51">
        <v>0</v>
      </c>
      <c r="W111" s="51">
        <v>0</v>
      </c>
      <c r="X111" s="51">
        <v>0</v>
      </c>
      <c r="Y111" s="19" t="s">
        <v>175</v>
      </c>
      <c r="Z111" s="19"/>
      <c r="AA111" s="28" t="s">
        <v>7151</v>
      </c>
      <c r="AB111" s="56">
        <v>43402</v>
      </c>
      <c r="AC111" s="28" t="s">
        <v>7152</v>
      </c>
      <c r="AD111" s="28" t="s">
        <v>7153</v>
      </c>
      <c r="AE111" s="54" t="s">
        <v>7156</v>
      </c>
      <c r="AF111" s="54"/>
      <c r="AG111" s="54"/>
      <c r="AH111" s="53" t="s">
        <v>1591</v>
      </c>
      <c r="AI111" s="53" t="s">
        <v>2686</v>
      </c>
      <c r="AJ111" s="53" t="s">
        <v>1591</v>
      </c>
    </row>
    <row r="112" spans="1:36" s="3" customFormat="1" ht="60" x14ac:dyDescent="0.25">
      <c r="A112" s="17" t="s">
        <v>182</v>
      </c>
      <c r="B112" s="18" t="s">
        <v>2693</v>
      </c>
      <c r="C112" s="19" t="s">
        <v>2636</v>
      </c>
      <c r="D112" s="45" t="s">
        <v>4049</v>
      </c>
      <c r="E112" s="50"/>
      <c r="F112" s="58"/>
      <c r="G112" s="51"/>
      <c r="H112" s="51"/>
      <c r="I112" s="50" t="s">
        <v>653</v>
      </c>
      <c r="J112" s="58" t="s">
        <v>4201</v>
      </c>
      <c r="K112" s="52" t="s">
        <v>4202</v>
      </c>
      <c r="L112" s="59">
        <v>42732</v>
      </c>
      <c r="M112" s="60">
        <f>L112+90</f>
        <v>42822</v>
      </c>
      <c r="N112" s="51">
        <v>9618.6</v>
      </c>
      <c r="O112" s="59">
        <v>42822</v>
      </c>
      <c r="P112" s="59">
        <f>M112+180</f>
        <v>43002</v>
      </c>
      <c r="Q112" s="51">
        <v>0</v>
      </c>
      <c r="R112" s="51">
        <f>N112+Q112</f>
        <v>9618.6</v>
      </c>
      <c r="S112" s="51">
        <v>0</v>
      </c>
      <c r="T112" s="52" t="s">
        <v>81</v>
      </c>
      <c r="U112" s="51">
        <v>0</v>
      </c>
      <c r="V112" s="51">
        <v>0</v>
      </c>
      <c r="W112" s="51">
        <v>0</v>
      </c>
      <c r="X112" s="51">
        <v>0</v>
      </c>
      <c r="Y112" s="19" t="s">
        <v>175</v>
      </c>
      <c r="Z112" s="19"/>
      <c r="AA112" s="28"/>
      <c r="AB112" s="56"/>
      <c r="AC112" s="28"/>
      <c r="AD112" s="28"/>
      <c r="AE112" s="54"/>
      <c r="AF112" s="54"/>
      <c r="AG112" s="54"/>
      <c r="AH112" s="53"/>
      <c r="AI112" s="53" t="s">
        <v>1591</v>
      </c>
      <c r="AJ112" s="53" t="s">
        <v>1591</v>
      </c>
    </row>
    <row r="113" spans="1:36" s="3" customFormat="1" ht="72" x14ac:dyDescent="0.25">
      <c r="A113" s="35" t="s">
        <v>2685</v>
      </c>
      <c r="B113" s="18" t="s">
        <v>2312</v>
      </c>
      <c r="C113" s="19" t="s">
        <v>4052</v>
      </c>
      <c r="D113" s="43" t="s">
        <v>4053</v>
      </c>
      <c r="E113" s="50" t="s">
        <v>4206</v>
      </c>
      <c r="F113" s="36" t="s">
        <v>4206</v>
      </c>
      <c r="G113" s="51"/>
      <c r="H113" s="51"/>
      <c r="I113" s="36" t="s">
        <v>520</v>
      </c>
      <c r="J113" s="34" t="s">
        <v>4207</v>
      </c>
      <c r="K113" s="37" t="s">
        <v>4208</v>
      </c>
      <c r="L113" s="38">
        <v>42929</v>
      </c>
      <c r="M113" s="39">
        <f>L113+180</f>
        <v>43109</v>
      </c>
      <c r="N113" s="42">
        <v>1590325.21</v>
      </c>
      <c r="O113" s="74" t="s">
        <v>4206</v>
      </c>
      <c r="P113" s="39" t="s">
        <v>4206</v>
      </c>
      <c r="Q113" s="41"/>
      <c r="R113" s="51">
        <f>N113+Q113</f>
        <v>1590325.21</v>
      </c>
      <c r="S113" s="51" t="s">
        <v>1889</v>
      </c>
      <c r="T113" s="52" t="s">
        <v>52</v>
      </c>
      <c r="U113" s="51">
        <v>206980.77</v>
      </c>
      <c r="V113" s="51" t="s">
        <v>4206</v>
      </c>
      <c r="W113" s="42"/>
      <c r="X113" s="42"/>
      <c r="Y113" s="34" t="s">
        <v>175</v>
      </c>
      <c r="Z113" s="34"/>
      <c r="AA113" s="28" t="s">
        <v>7157</v>
      </c>
      <c r="AB113" s="56">
        <v>43402</v>
      </c>
      <c r="AC113" s="28" t="s">
        <v>7158</v>
      </c>
      <c r="AD113" s="28" t="s">
        <v>7159</v>
      </c>
      <c r="AE113" s="54" t="s">
        <v>7160</v>
      </c>
      <c r="AF113" s="54"/>
      <c r="AG113" s="54" t="s">
        <v>7161</v>
      </c>
      <c r="AH113" s="53" t="s">
        <v>1591</v>
      </c>
      <c r="AI113" s="53" t="s">
        <v>2686</v>
      </c>
      <c r="AJ113" s="53" t="s">
        <v>1591</v>
      </c>
    </row>
    <row r="114" spans="1:36" s="3" customFormat="1" ht="48" x14ac:dyDescent="0.25">
      <c r="A114" s="17" t="s">
        <v>182</v>
      </c>
      <c r="B114" s="18" t="s">
        <v>2694</v>
      </c>
      <c r="C114" s="19" t="s">
        <v>2339</v>
      </c>
      <c r="D114" s="45" t="s">
        <v>2340</v>
      </c>
      <c r="E114" s="50" t="s">
        <v>46</v>
      </c>
      <c r="F114" s="58" t="s">
        <v>46</v>
      </c>
      <c r="G114" s="51" t="s">
        <v>46</v>
      </c>
      <c r="H114" s="51" t="s">
        <v>46</v>
      </c>
      <c r="I114" s="50" t="s">
        <v>2330</v>
      </c>
      <c r="J114" s="58" t="s">
        <v>2331</v>
      </c>
      <c r="K114" s="52" t="s">
        <v>2341</v>
      </c>
      <c r="L114" s="59">
        <v>41802</v>
      </c>
      <c r="M114" s="60">
        <f>L114+540</f>
        <v>42342</v>
      </c>
      <c r="N114" s="51">
        <v>64401947.859999999</v>
      </c>
      <c r="O114" s="59" t="s">
        <v>2342</v>
      </c>
      <c r="P114" s="59">
        <f>M114+725</f>
        <v>43067</v>
      </c>
      <c r="Q114" s="51">
        <v>12506642.949999999</v>
      </c>
      <c r="R114" s="51">
        <f>N114+Q114</f>
        <v>76908590.810000002</v>
      </c>
      <c r="S114" s="51">
        <v>5158970.18</v>
      </c>
      <c r="T114" s="52" t="s">
        <v>211</v>
      </c>
      <c r="U114" s="51">
        <v>8480679.5700000003</v>
      </c>
      <c r="V114" s="51">
        <v>8341827.2300000004</v>
      </c>
      <c r="W114" s="51">
        <v>8341827.2300000004</v>
      </c>
      <c r="X114" s="51">
        <v>43567269.299999997</v>
      </c>
      <c r="Y114" s="19" t="s">
        <v>42</v>
      </c>
      <c r="Z114" s="19"/>
      <c r="AA114" s="28"/>
      <c r="AB114" s="56"/>
      <c r="AC114" s="28"/>
      <c r="AD114" s="28"/>
      <c r="AE114" s="54"/>
      <c r="AF114" s="54"/>
      <c r="AG114" s="54"/>
      <c r="AH114" s="53"/>
      <c r="AI114" s="53" t="s">
        <v>1591</v>
      </c>
      <c r="AJ114" s="53" t="s">
        <v>1591</v>
      </c>
    </row>
    <row r="115" spans="1:36" s="3" customFormat="1" ht="36" x14ac:dyDescent="0.25">
      <c r="A115" s="17" t="s">
        <v>182</v>
      </c>
      <c r="B115" s="18" t="s">
        <v>2694</v>
      </c>
      <c r="C115" s="19" t="s">
        <v>2317</v>
      </c>
      <c r="D115" s="45" t="s">
        <v>4054</v>
      </c>
      <c r="E115" s="50" t="s">
        <v>46</v>
      </c>
      <c r="F115" s="58" t="s">
        <v>46</v>
      </c>
      <c r="G115" s="51" t="s">
        <v>46</v>
      </c>
      <c r="H115" s="51" t="s">
        <v>46</v>
      </c>
      <c r="I115" s="50" t="s">
        <v>2318</v>
      </c>
      <c r="J115" s="58" t="s">
        <v>2319</v>
      </c>
      <c r="K115" s="52" t="s">
        <v>2320</v>
      </c>
      <c r="L115" s="59">
        <v>41726</v>
      </c>
      <c r="M115" s="60">
        <f>L115+1080</f>
        <v>42806</v>
      </c>
      <c r="N115" s="51">
        <v>58082633.450000003</v>
      </c>
      <c r="O115" s="59" t="s">
        <v>2321</v>
      </c>
      <c r="P115" s="59" t="s">
        <v>46</v>
      </c>
      <c r="Q115" s="51">
        <v>8761811.0899999999</v>
      </c>
      <c r="R115" s="51">
        <f>N115+Q115</f>
        <v>66844444.540000007</v>
      </c>
      <c r="S115" s="51">
        <v>7617426.2400000002</v>
      </c>
      <c r="T115" s="52" t="s">
        <v>211</v>
      </c>
      <c r="U115" s="51">
        <v>8336003.8099999996</v>
      </c>
      <c r="V115" s="51">
        <v>9271578.5399999991</v>
      </c>
      <c r="W115" s="51">
        <v>9271578.5399999991</v>
      </c>
      <c r="X115" s="51">
        <v>49477445.659999996</v>
      </c>
      <c r="Y115" s="19" t="s">
        <v>42</v>
      </c>
      <c r="Z115" s="19"/>
      <c r="AA115" s="28"/>
      <c r="AB115" s="56"/>
      <c r="AC115" s="28"/>
      <c r="AD115" s="28"/>
      <c r="AE115" s="54"/>
      <c r="AF115" s="54"/>
      <c r="AG115" s="54"/>
      <c r="AH115" s="53"/>
      <c r="AI115" s="53" t="s">
        <v>1591</v>
      </c>
      <c r="AJ115" s="53" t="s">
        <v>1591</v>
      </c>
    </row>
    <row r="116" spans="1:36" s="3" customFormat="1" ht="72" x14ac:dyDescent="0.25">
      <c r="A116" s="35" t="s">
        <v>182</v>
      </c>
      <c r="B116" s="34" t="s">
        <v>2694</v>
      </c>
      <c r="C116" s="76"/>
      <c r="D116" s="43" t="s">
        <v>6057</v>
      </c>
      <c r="E116" s="78"/>
      <c r="F116" s="36"/>
      <c r="G116" s="80"/>
      <c r="H116" s="80"/>
      <c r="I116" s="36" t="s">
        <v>6058</v>
      </c>
      <c r="J116" s="34" t="s">
        <v>6059</v>
      </c>
      <c r="K116" s="37" t="s">
        <v>6060</v>
      </c>
      <c r="L116" s="38">
        <v>41002</v>
      </c>
      <c r="M116" s="39">
        <v>41543</v>
      </c>
      <c r="N116" s="42">
        <v>35297832.869999997</v>
      </c>
      <c r="O116" s="85" t="s">
        <v>6061</v>
      </c>
      <c r="P116" s="86">
        <v>41908</v>
      </c>
      <c r="Q116" s="41">
        <v>2350464.36</v>
      </c>
      <c r="R116" s="41">
        <v>37648297.229999997</v>
      </c>
      <c r="S116" s="80"/>
      <c r="T116" s="81"/>
      <c r="U116" s="80"/>
      <c r="V116" s="80"/>
      <c r="W116" s="42"/>
      <c r="X116" s="42">
        <v>12414486.140000001</v>
      </c>
      <c r="Y116" s="34" t="s">
        <v>4321</v>
      </c>
      <c r="Z116" s="19" t="s">
        <v>7038</v>
      </c>
      <c r="AA116" s="28"/>
      <c r="AB116" s="56"/>
      <c r="AC116" s="28"/>
      <c r="AD116" s="28"/>
      <c r="AE116" s="54"/>
      <c r="AF116" s="54"/>
      <c r="AG116" s="54"/>
      <c r="AH116" s="53"/>
      <c r="AI116" s="53" t="s">
        <v>1591</v>
      </c>
      <c r="AJ116" s="53" t="s">
        <v>1591</v>
      </c>
    </row>
    <row r="117" spans="1:36" s="3" customFormat="1" ht="60" x14ac:dyDescent="0.25">
      <c r="A117" s="35" t="s">
        <v>182</v>
      </c>
      <c r="B117" s="34" t="s">
        <v>2694</v>
      </c>
      <c r="C117" s="76"/>
      <c r="D117" s="43" t="s">
        <v>6062</v>
      </c>
      <c r="E117" s="78"/>
      <c r="F117" s="36"/>
      <c r="G117" s="80"/>
      <c r="H117" s="80"/>
      <c r="I117" s="36" t="s">
        <v>2344</v>
      </c>
      <c r="J117" s="34" t="s">
        <v>2355</v>
      </c>
      <c r="K117" s="37" t="s">
        <v>6063</v>
      </c>
      <c r="L117" s="38">
        <v>40819</v>
      </c>
      <c r="M117" s="39">
        <v>41540</v>
      </c>
      <c r="N117" s="42">
        <v>29149199.010000002</v>
      </c>
      <c r="O117" s="85" t="s">
        <v>6064</v>
      </c>
      <c r="P117" s="86">
        <v>41780</v>
      </c>
      <c r="Q117" s="41">
        <v>7118103.6699999999</v>
      </c>
      <c r="R117" s="41">
        <v>36267302.68</v>
      </c>
      <c r="S117" s="80"/>
      <c r="T117" s="81"/>
      <c r="U117" s="80"/>
      <c r="V117" s="80"/>
      <c r="W117" s="42"/>
      <c r="X117" s="42">
        <v>24829365.359999999</v>
      </c>
      <c r="Y117" s="34" t="s">
        <v>4321</v>
      </c>
      <c r="Z117" s="19" t="s">
        <v>7038</v>
      </c>
      <c r="AA117" s="28"/>
      <c r="AB117" s="56"/>
      <c r="AC117" s="28"/>
      <c r="AD117" s="28"/>
      <c r="AE117" s="54"/>
      <c r="AF117" s="54"/>
      <c r="AG117" s="54"/>
      <c r="AH117" s="53"/>
      <c r="AI117" s="53" t="s">
        <v>1591</v>
      </c>
      <c r="AJ117" s="53" t="s">
        <v>1591</v>
      </c>
    </row>
    <row r="118" spans="1:36" s="3" customFormat="1" ht="48" x14ac:dyDescent="0.25">
      <c r="A118" s="17" t="s">
        <v>182</v>
      </c>
      <c r="B118" s="18" t="s">
        <v>2694</v>
      </c>
      <c r="C118" s="19" t="s">
        <v>2339</v>
      </c>
      <c r="D118" s="45" t="s">
        <v>2372</v>
      </c>
      <c r="E118" s="50" t="s">
        <v>46</v>
      </c>
      <c r="F118" s="58" t="s">
        <v>46</v>
      </c>
      <c r="G118" s="51" t="s">
        <v>46</v>
      </c>
      <c r="H118" s="51" t="s">
        <v>46</v>
      </c>
      <c r="I118" s="50" t="s">
        <v>2373</v>
      </c>
      <c r="J118" s="58" t="s">
        <v>2374</v>
      </c>
      <c r="K118" s="52" t="s">
        <v>2375</v>
      </c>
      <c r="L118" s="59">
        <v>41761</v>
      </c>
      <c r="M118" s="60">
        <f>L118+365</f>
        <v>42126</v>
      </c>
      <c r="N118" s="51">
        <v>6733536.4800000004</v>
      </c>
      <c r="O118" s="59" t="s">
        <v>2376</v>
      </c>
      <c r="P118" s="59">
        <f>M118+1095</f>
        <v>43221</v>
      </c>
      <c r="Q118" s="51">
        <v>19086799.75</v>
      </c>
      <c r="R118" s="51">
        <f>N118+Q118</f>
        <v>25820336.23</v>
      </c>
      <c r="S118" s="51">
        <v>1011005.59</v>
      </c>
      <c r="T118" s="52" t="s">
        <v>1054</v>
      </c>
      <c r="U118" s="51">
        <v>2328881.94</v>
      </c>
      <c r="V118" s="51">
        <v>2771551.62</v>
      </c>
      <c r="W118" s="51">
        <v>2771551.62</v>
      </c>
      <c r="X118" s="51">
        <v>11073769.9</v>
      </c>
      <c r="Y118" s="19" t="s">
        <v>42</v>
      </c>
      <c r="Z118" s="19"/>
      <c r="AA118" s="28"/>
      <c r="AB118" s="56"/>
      <c r="AC118" s="28"/>
      <c r="AD118" s="28"/>
      <c r="AE118" s="54"/>
      <c r="AF118" s="54"/>
      <c r="AG118" s="54"/>
      <c r="AH118" s="53"/>
      <c r="AI118" s="53" t="s">
        <v>1591</v>
      </c>
      <c r="AJ118" s="53" t="s">
        <v>1591</v>
      </c>
    </row>
    <row r="119" spans="1:36" s="3" customFormat="1" ht="60" x14ac:dyDescent="0.25">
      <c r="A119" s="17" t="s">
        <v>182</v>
      </c>
      <c r="B119" s="18" t="s">
        <v>2694</v>
      </c>
      <c r="C119" s="19" t="s">
        <v>2328</v>
      </c>
      <c r="D119" s="45" t="s">
        <v>2329</v>
      </c>
      <c r="E119" s="50" t="s">
        <v>46</v>
      </c>
      <c r="F119" s="58" t="s">
        <v>46</v>
      </c>
      <c r="G119" s="51" t="s">
        <v>46</v>
      </c>
      <c r="H119" s="51" t="s">
        <v>46</v>
      </c>
      <c r="I119" s="50" t="s">
        <v>2330</v>
      </c>
      <c r="J119" s="58" t="s">
        <v>2331</v>
      </c>
      <c r="K119" s="52" t="s">
        <v>2332</v>
      </c>
      <c r="L119" s="59">
        <v>42095</v>
      </c>
      <c r="M119" s="60">
        <f>L119+330</f>
        <v>42425</v>
      </c>
      <c r="N119" s="51">
        <v>19131975.719999999</v>
      </c>
      <c r="O119" s="59" t="s">
        <v>4285</v>
      </c>
      <c r="P119" s="59" t="s">
        <v>46</v>
      </c>
      <c r="Q119" s="51">
        <v>3285043.38</v>
      </c>
      <c r="R119" s="51">
        <f>N119+Q119</f>
        <v>22417019.099999998</v>
      </c>
      <c r="S119" s="51">
        <v>1879159.16</v>
      </c>
      <c r="T119" s="52" t="s">
        <v>211</v>
      </c>
      <c r="U119" s="51">
        <v>1072925.08</v>
      </c>
      <c r="V119" s="51">
        <v>1451667.93</v>
      </c>
      <c r="W119" s="51">
        <v>1451667.93</v>
      </c>
      <c r="X119" s="51">
        <v>12081818.050000001</v>
      </c>
      <c r="Y119" s="19" t="s">
        <v>2273</v>
      </c>
      <c r="Z119" s="19"/>
      <c r="AA119" s="28"/>
      <c r="AB119" s="56"/>
      <c r="AC119" s="28"/>
      <c r="AD119" s="28"/>
      <c r="AE119" s="54"/>
      <c r="AF119" s="54"/>
      <c r="AG119" s="54"/>
      <c r="AH119" s="53"/>
      <c r="AI119" s="53" t="s">
        <v>1591</v>
      </c>
      <c r="AJ119" s="53" t="s">
        <v>1591</v>
      </c>
    </row>
    <row r="120" spans="1:36" s="3" customFormat="1" ht="72" x14ac:dyDescent="0.25">
      <c r="A120" s="17" t="s">
        <v>182</v>
      </c>
      <c r="B120" s="34" t="s">
        <v>2694</v>
      </c>
      <c r="C120" s="76" t="s">
        <v>6065</v>
      </c>
      <c r="D120" s="77" t="s">
        <v>6066</v>
      </c>
      <c r="E120" s="78" t="s">
        <v>46</v>
      </c>
      <c r="F120" s="79" t="s">
        <v>46</v>
      </c>
      <c r="G120" s="80" t="s">
        <v>46</v>
      </c>
      <c r="H120" s="80" t="s">
        <v>46</v>
      </c>
      <c r="I120" s="78" t="s">
        <v>6067</v>
      </c>
      <c r="J120" s="79" t="s">
        <v>6068</v>
      </c>
      <c r="K120" s="81" t="s">
        <v>6069</v>
      </c>
      <c r="L120" s="82">
        <v>41487</v>
      </c>
      <c r="M120" s="83">
        <v>41847</v>
      </c>
      <c r="N120" s="80">
        <v>21469499.77</v>
      </c>
      <c r="O120" s="82" t="s">
        <v>6070</v>
      </c>
      <c r="P120" s="84" t="s">
        <v>46</v>
      </c>
      <c r="Q120" s="80">
        <v>-430883.87999999896</v>
      </c>
      <c r="R120" s="80">
        <v>21038615.890000001</v>
      </c>
      <c r="S120" s="80">
        <v>373028.02</v>
      </c>
      <c r="T120" s="81" t="s">
        <v>211</v>
      </c>
      <c r="U120" s="80"/>
      <c r="V120" s="80"/>
      <c r="W120" s="80"/>
      <c r="X120" s="80">
        <v>7103900.7699999996</v>
      </c>
      <c r="Y120" s="76" t="s">
        <v>41</v>
      </c>
      <c r="Z120" s="19" t="s">
        <v>7038</v>
      </c>
      <c r="AA120" s="28"/>
      <c r="AB120" s="56"/>
      <c r="AC120" s="28"/>
      <c r="AD120" s="28"/>
      <c r="AE120" s="54"/>
      <c r="AF120" s="54"/>
      <c r="AG120" s="54"/>
      <c r="AH120" s="53"/>
      <c r="AI120" s="53" t="s">
        <v>1591</v>
      </c>
      <c r="AJ120" s="53" t="s">
        <v>1591</v>
      </c>
    </row>
    <row r="121" spans="1:36" s="3" customFormat="1" ht="36" x14ac:dyDescent="0.25">
      <c r="A121" s="17" t="s">
        <v>182</v>
      </c>
      <c r="B121" s="18" t="s">
        <v>2694</v>
      </c>
      <c r="C121" s="19" t="s">
        <v>2363</v>
      </c>
      <c r="D121" s="45" t="s">
        <v>2364</v>
      </c>
      <c r="E121" s="50" t="s">
        <v>46</v>
      </c>
      <c r="F121" s="58" t="s">
        <v>46</v>
      </c>
      <c r="G121" s="51" t="s">
        <v>46</v>
      </c>
      <c r="H121" s="51" t="s">
        <v>46</v>
      </c>
      <c r="I121" s="50" t="s">
        <v>2365</v>
      </c>
      <c r="J121" s="58" t="s">
        <v>2366</v>
      </c>
      <c r="K121" s="52" t="s">
        <v>2367</v>
      </c>
      <c r="L121" s="59">
        <v>41761</v>
      </c>
      <c r="M121" s="60">
        <f>L121+365</f>
        <v>42126</v>
      </c>
      <c r="N121" s="51">
        <v>5592522.0599999996</v>
      </c>
      <c r="O121" s="59" t="s">
        <v>2938</v>
      </c>
      <c r="P121" s="59">
        <f>M121+1095</f>
        <v>43221</v>
      </c>
      <c r="Q121" s="51">
        <v>15206329.73</v>
      </c>
      <c r="R121" s="51">
        <f>N121+Q121</f>
        <v>20798851.789999999</v>
      </c>
      <c r="S121" s="51">
        <v>867923.81</v>
      </c>
      <c r="T121" s="52" t="s">
        <v>1054</v>
      </c>
      <c r="U121" s="51">
        <v>1801860.69</v>
      </c>
      <c r="V121" s="51">
        <v>2008772.31</v>
      </c>
      <c r="W121" s="51">
        <v>2008772.31</v>
      </c>
      <c r="X121" s="51">
        <v>9132867.4100000001</v>
      </c>
      <c r="Y121" s="19" t="s">
        <v>42</v>
      </c>
      <c r="Z121" s="19"/>
      <c r="AA121" s="28"/>
      <c r="AB121" s="56"/>
      <c r="AC121" s="28"/>
      <c r="AD121" s="28"/>
      <c r="AE121" s="54"/>
      <c r="AF121" s="54"/>
      <c r="AG121" s="54"/>
      <c r="AH121" s="53"/>
      <c r="AI121" s="53" t="s">
        <v>1591</v>
      </c>
      <c r="AJ121" s="53" t="s">
        <v>1591</v>
      </c>
    </row>
    <row r="122" spans="1:36" s="3" customFormat="1" ht="48" x14ac:dyDescent="0.25">
      <c r="A122" s="35" t="s">
        <v>182</v>
      </c>
      <c r="B122" s="34" t="s">
        <v>2694</v>
      </c>
      <c r="C122" s="76"/>
      <c r="D122" s="43" t="s">
        <v>6071</v>
      </c>
      <c r="E122" s="78"/>
      <c r="F122" s="36"/>
      <c r="G122" s="80"/>
      <c r="H122" s="80"/>
      <c r="I122" s="36" t="s">
        <v>6072</v>
      </c>
      <c r="J122" s="34" t="s">
        <v>6059</v>
      </c>
      <c r="K122" s="37" t="s">
        <v>6073</v>
      </c>
      <c r="L122" s="38">
        <v>41701</v>
      </c>
      <c r="M122" s="39">
        <v>42061</v>
      </c>
      <c r="N122" s="42">
        <v>19970624.960000001</v>
      </c>
      <c r="O122" s="85" t="s">
        <v>6074</v>
      </c>
      <c r="P122" s="86"/>
      <c r="Q122" s="41"/>
      <c r="R122" s="41">
        <v>19970624.960000001</v>
      </c>
      <c r="S122" s="80"/>
      <c r="T122" s="81"/>
      <c r="U122" s="80"/>
      <c r="V122" s="80"/>
      <c r="W122" s="42"/>
      <c r="X122" s="42">
        <v>891493.34</v>
      </c>
      <c r="Y122" s="34" t="s">
        <v>4321</v>
      </c>
      <c r="Z122" s="19" t="s">
        <v>7038</v>
      </c>
      <c r="AA122" s="28"/>
      <c r="AB122" s="56"/>
      <c r="AC122" s="28"/>
      <c r="AD122" s="28"/>
      <c r="AE122" s="54"/>
      <c r="AF122" s="54"/>
      <c r="AG122" s="54"/>
      <c r="AH122" s="53"/>
      <c r="AI122" s="53" t="s">
        <v>1591</v>
      </c>
      <c r="AJ122" s="53" t="s">
        <v>1591</v>
      </c>
    </row>
    <row r="123" spans="1:36" s="3" customFormat="1" ht="60" x14ac:dyDescent="0.25">
      <c r="A123" s="17" t="s">
        <v>182</v>
      </c>
      <c r="B123" s="18" t="s">
        <v>2694</v>
      </c>
      <c r="C123" s="19" t="s">
        <v>2359</v>
      </c>
      <c r="D123" s="45" t="s">
        <v>2360</v>
      </c>
      <c r="E123" s="50" t="s">
        <v>46</v>
      </c>
      <c r="F123" s="58" t="s">
        <v>46</v>
      </c>
      <c r="G123" s="51" t="s">
        <v>46</v>
      </c>
      <c r="H123" s="51" t="s">
        <v>46</v>
      </c>
      <c r="I123" s="50" t="s">
        <v>2361</v>
      </c>
      <c r="J123" s="58" t="s">
        <v>2354</v>
      </c>
      <c r="K123" s="52" t="s">
        <v>2362</v>
      </c>
      <c r="L123" s="59">
        <v>42552</v>
      </c>
      <c r="M123" s="60">
        <f>L123+360</f>
        <v>42912</v>
      </c>
      <c r="N123" s="51">
        <v>17115415.09</v>
      </c>
      <c r="O123" s="59">
        <v>42911</v>
      </c>
      <c r="P123" s="59">
        <f>M123+240</f>
        <v>43152</v>
      </c>
      <c r="Q123" s="51">
        <v>2682859.39</v>
      </c>
      <c r="R123" s="51">
        <f>N123+Q123</f>
        <v>19798274.48</v>
      </c>
      <c r="S123" s="51">
        <v>1410596.69</v>
      </c>
      <c r="T123" s="52" t="s">
        <v>211</v>
      </c>
      <c r="U123" s="51">
        <v>1619069.81</v>
      </c>
      <c r="V123" s="51">
        <v>1575696.02</v>
      </c>
      <c r="W123" s="51">
        <v>1575696.02</v>
      </c>
      <c r="X123" s="51">
        <v>6722058.4100000001</v>
      </c>
      <c r="Y123" s="19" t="s">
        <v>42</v>
      </c>
      <c r="Z123" s="19"/>
      <c r="AA123" s="28"/>
      <c r="AB123" s="56"/>
      <c r="AC123" s="28"/>
      <c r="AD123" s="28"/>
      <c r="AE123" s="54"/>
      <c r="AF123" s="54"/>
      <c r="AG123" s="54"/>
      <c r="AH123" s="53"/>
      <c r="AI123" s="53" t="s">
        <v>1591</v>
      </c>
      <c r="AJ123" s="53" t="s">
        <v>1591</v>
      </c>
    </row>
    <row r="124" spans="1:36" s="3" customFormat="1" ht="72" x14ac:dyDescent="0.25">
      <c r="A124" s="17" t="s">
        <v>182</v>
      </c>
      <c r="B124" s="18" t="s">
        <v>2694</v>
      </c>
      <c r="C124" s="19" t="s">
        <v>2345</v>
      </c>
      <c r="D124" s="45" t="s">
        <v>2346</v>
      </c>
      <c r="E124" s="50" t="s">
        <v>46</v>
      </c>
      <c r="F124" s="58" t="s">
        <v>46</v>
      </c>
      <c r="G124" s="51" t="s">
        <v>46</v>
      </c>
      <c r="H124" s="51" t="s">
        <v>46</v>
      </c>
      <c r="I124" s="50" t="s">
        <v>2347</v>
      </c>
      <c r="J124" s="58" t="s">
        <v>2348</v>
      </c>
      <c r="K124" s="52" t="s">
        <v>2349</v>
      </c>
      <c r="L124" s="59">
        <v>42144</v>
      </c>
      <c r="M124" s="59">
        <f>L124+365</f>
        <v>42509</v>
      </c>
      <c r="N124" s="51">
        <v>5894663.1900000004</v>
      </c>
      <c r="O124" s="59" t="s">
        <v>2350</v>
      </c>
      <c r="P124" s="59">
        <f>L124+730</f>
        <v>42874</v>
      </c>
      <c r="Q124" s="51">
        <v>11780525.060000001</v>
      </c>
      <c r="R124" s="51">
        <f>N124+Q124</f>
        <v>17675188.25</v>
      </c>
      <c r="S124" s="51">
        <v>36038.83</v>
      </c>
      <c r="T124" s="52" t="s">
        <v>1054</v>
      </c>
      <c r="U124" s="51">
        <v>215641.3</v>
      </c>
      <c r="V124" s="51">
        <v>2286119.52</v>
      </c>
      <c r="W124" s="51">
        <v>2286119.52</v>
      </c>
      <c r="X124" s="51">
        <v>7130825.2999999998</v>
      </c>
      <c r="Y124" s="19" t="s">
        <v>42</v>
      </c>
      <c r="Z124" s="19"/>
      <c r="AA124" s="28"/>
      <c r="AB124" s="56"/>
      <c r="AC124" s="28"/>
      <c r="AD124" s="28"/>
      <c r="AE124" s="54"/>
      <c r="AF124" s="54"/>
      <c r="AG124" s="54"/>
      <c r="AH124" s="53"/>
      <c r="AI124" s="53" t="s">
        <v>1591</v>
      </c>
      <c r="AJ124" s="53" t="s">
        <v>1591</v>
      </c>
    </row>
    <row r="125" spans="1:36" s="3" customFormat="1" ht="60" x14ac:dyDescent="0.25">
      <c r="A125" s="17" t="s">
        <v>182</v>
      </c>
      <c r="B125" s="18" t="s">
        <v>2694</v>
      </c>
      <c r="C125" s="19" t="s">
        <v>2323</v>
      </c>
      <c r="D125" s="45" t="s">
        <v>2324</v>
      </c>
      <c r="E125" s="50" t="s">
        <v>46</v>
      </c>
      <c r="F125" s="58" t="s">
        <v>46</v>
      </c>
      <c r="G125" s="51" t="s">
        <v>46</v>
      </c>
      <c r="H125" s="51" t="s">
        <v>46</v>
      </c>
      <c r="I125" s="50" t="s">
        <v>2325</v>
      </c>
      <c r="J125" s="58" t="s">
        <v>2326</v>
      </c>
      <c r="K125" s="52" t="s">
        <v>2327</v>
      </c>
      <c r="L125" s="59">
        <v>41487</v>
      </c>
      <c r="M125" s="60">
        <f>L125+360</f>
        <v>41847</v>
      </c>
      <c r="N125" s="51">
        <v>15919250.609999999</v>
      </c>
      <c r="O125" s="59" t="s">
        <v>4284</v>
      </c>
      <c r="P125" s="59">
        <f>M125+660</f>
        <v>42507</v>
      </c>
      <c r="Q125" s="51">
        <v>1263957.32</v>
      </c>
      <c r="R125" s="51">
        <f>N125+Q125</f>
        <v>17183207.93</v>
      </c>
      <c r="S125" s="51">
        <v>1531684.22</v>
      </c>
      <c r="T125" s="52" t="s">
        <v>211</v>
      </c>
      <c r="U125" s="51">
        <v>1819132.24</v>
      </c>
      <c r="V125" s="51">
        <v>1143182.92</v>
      </c>
      <c r="W125" s="51">
        <v>1143182.92</v>
      </c>
      <c r="X125" s="51">
        <v>11182389.68</v>
      </c>
      <c r="Y125" s="19" t="s">
        <v>42</v>
      </c>
      <c r="Z125" s="19"/>
      <c r="AA125" s="28"/>
      <c r="AB125" s="56"/>
      <c r="AC125" s="28"/>
      <c r="AD125" s="28"/>
      <c r="AE125" s="54"/>
      <c r="AF125" s="54"/>
      <c r="AG125" s="54"/>
      <c r="AH125" s="53"/>
      <c r="AI125" s="53" t="s">
        <v>1591</v>
      </c>
      <c r="AJ125" s="53" t="s">
        <v>1591</v>
      </c>
    </row>
    <row r="126" spans="1:36" s="3" customFormat="1" ht="60" x14ac:dyDescent="0.25">
      <c r="A126" s="17" t="s">
        <v>182</v>
      </c>
      <c r="B126" s="34" t="s">
        <v>2694</v>
      </c>
      <c r="C126" s="76" t="s">
        <v>6075</v>
      </c>
      <c r="D126" s="77" t="s">
        <v>6076</v>
      </c>
      <c r="E126" s="78" t="s">
        <v>46</v>
      </c>
      <c r="F126" s="79" t="s">
        <v>46</v>
      </c>
      <c r="G126" s="80" t="s">
        <v>46</v>
      </c>
      <c r="H126" s="80" t="s">
        <v>46</v>
      </c>
      <c r="I126" s="78" t="s">
        <v>6077</v>
      </c>
      <c r="J126" s="79" t="s">
        <v>6078</v>
      </c>
      <c r="K126" s="81" t="s">
        <v>6079</v>
      </c>
      <c r="L126" s="82">
        <v>41369</v>
      </c>
      <c r="M126" s="83">
        <v>41729</v>
      </c>
      <c r="N126" s="80">
        <v>13915533.15</v>
      </c>
      <c r="O126" s="82" t="s">
        <v>6080</v>
      </c>
      <c r="P126" s="84" t="s">
        <v>6081</v>
      </c>
      <c r="Q126" s="80">
        <v>2542465.7699999996</v>
      </c>
      <c r="R126" s="80">
        <v>16457998.92</v>
      </c>
      <c r="S126" s="80">
        <v>488191.96</v>
      </c>
      <c r="T126" s="81" t="s">
        <v>211</v>
      </c>
      <c r="U126" s="80">
        <v>758868.21</v>
      </c>
      <c r="V126" s="80"/>
      <c r="W126" s="80"/>
      <c r="X126" s="80">
        <v>7275151.1299999999</v>
      </c>
      <c r="Y126" s="76" t="s">
        <v>42</v>
      </c>
      <c r="Z126" s="19" t="s">
        <v>7038</v>
      </c>
      <c r="AA126" s="28"/>
      <c r="AB126" s="56"/>
      <c r="AC126" s="28"/>
      <c r="AD126" s="28"/>
      <c r="AE126" s="54"/>
      <c r="AF126" s="54"/>
      <c r="AG126" s="54"/>
      <c r="AH126" s="53"/>
      <c r="AI126" s="53" t="s">
        <v>1591</v>
      </c>
      <c r="AJ126" s="53" t="s">
        <v>1591</v>
      </c>
    </row>
    <row r="127" spans="1:36" s="3" customFormat="1" ht="60" x14ac:dyDescent="0.25">
      <c r="A127" s="35" t="s">
        <v>182</v>
      </c>
      <c r="B127" s="34" t="s">
        <v>2694</v>
      </c>
      <c r="C127" s="76"/>
      <c r="D127" s="43" t="s">
        <v>6082</v>
      </c>
      <c r="E127" s="78"/>
      <c r="F127" s="36"/>
      <c r="G127" s="80"/>
      <c r="H127" s="80"/>
      <c r="I127" s="36" t="s">
        <v>2315</v>
      </c>
      <c r="J127" s="34" t="s">
        <v>2316</v>
      </c>
      <c r="K127" s="37" t="s">
        <v>6083</v>
      </c>
      <c r="L127" s="38">
        <v>41264</v>
      </c>
      <c r="M127" s="39">
        <v>41714</v>
      </c>
      <c r="N127" s="42">
        <v>16050091.050000001</v>
      </c>
      <c r="O127" s="85" t="s">
        <v>6084</v>
      </c>
      <c r="P127" s="86"/>
      <c r="Q127" s="41"/>
      <c r="R127" s="41">
        <v>16050091.050000001</v>
      </c>
      <c r="S127" s="80"/>
      <c r="T127" s="81"/>
      <c r="U127" s="80"/>
      <c r="V127" s="80"/>
      <c r="W127" s="42"/>
      <c r="X127" s="42">
        <v>957655.96</v>
      </c>
      <c r="Y127" s="34" t="s">
        <v>4321</v>
      </c>
      <c r="Z127" s="19" t="s">
        <v>7038</v>
      </c>
      <c r="AA127" s="28"/>
      <c r="AB127" s="56"/>
      <c r="AC127" s="28"/>
      <c r="AD127" s="28"/>
      <c r="AE127" s="54"/>
      <c r="AF127" s="54"/>
      <c r="AG127" s="54"/>
      <c r="AH127" s="53"/>
      <c r="AI127" s="53" t="s">
        <v>1591</v>
      </c>
      <c r="AJ127" s="53" t="s">
        <v>1591</v>
      </c>
    </row>
    <row r="128" spans="1:36" s="3" customFormat="1" ht="72" x14ac:dyDescent="0.25">
      <c r="A128" s="35" t="s">
        <v>182</v>
      </c>
      <c r="B128" s="34" t="s">
        <v>2694</v>
      </c>
      <c r="C128" s="76"/>
      <c r="D128" s="43" t="s">
        <v>6085</v>
      </c>
      <c r="E128" s="78"/>
      <c r="F128" s="36"/>
      <c r="G128" s="80"/>
      <c r="H128" s="80"/>
      <c r="I128" s="36" t="s">
        <v>2313</v>
      </c>
      <c r="J128" s="34" t="s">
        <v>2314</v>
      </c>
      <c r="K128" s="37" t="s">
        <v>6086</v>
      </c>
      <c r="L128" s="38">
        <v>40848</v>
      </c>
      <c r="M128" s="39">
        <v>41149</v>
      </c>
      <c r="N128" s="42">
        <v>12530217.529999999</v>
      </c>
      <c r="O128" s="85" t="s">
        <v>6087</v>
      </c>
      <c r="P128" s="86"/>
      <c r="Q128" s="41">
        <v>-108124.72</v>
      </c>
      <c r="R128" s="41">
        <v>12422092.809999999</v>
      </c>
      <c r="S128" s="80"/>
      <c r="T128" s="81"/>
      <c r="U128" s="80"/>
      <c r="V128" s="80"/>
      <c r="W128" s="42"/>
      <c r="X128" s="42">
        <v>1268756.03</v>
      </c>
      <c r="Y128" s="34" t="s">
        <v>4321</v>
      </c>
      <c r="Z128" s="19" t="s">
        <v>7038</v>
      </c>
      <c r="AA128" s="28"/>
      <c r="AB128" s="56"/>
      <c r="AC128" s="28"/>
      <c r="AD128" s="28"/>
      <c r="AE128" s="54"/>
      <c r="AF128" s="54"/>
      <c r="AG128" s="54"/>
      <c r="AH128" s="53"/>
      <c r="AI128" s="53" t="s">
        <v>1591</v>
      </c>
      <c r="AJ128" s="53" t="s">
        <v>1591</v>
      </c>
    </row>
    <row r="129" spans="1:36" s="3" customFormat="1" ht="36" x14ac:dyDescent="0.25">
      <c r="A129" s="17" t="s">
        <v>182</v>
      </c>
      <c r="B129" s="18" t="s">
        <v>2694</v>
      </c>
      <c r="C129" s="19" t="s">
        <v>2356</v>
      </c>
      <c r="D129" s="45" t="s">
        <v>2357</v>
      </c>
      <c r="E129" s="50" t="s">
        <v>46</v>
      </c>
      <c r="F129" s="58" t="s">
        <v>46</v>
      </c>
      <c r="G129" s="51" t="s">
        <v>46</v>
      </c>
      <c r="H129" s="51" t="s">
        <v>46</v>
      </c>
      <c r="I129" s="50" t="s">
        <v>217</v>
      </c>
      <c r="J129" s="58" t="s">
        <v>1417</v>
      </c>
      <c r="K129" s="52" t="s">
        <v>2358</v>
      </c>
      <c r="L129" s="59">
        <v>42401</v>
      </c>
      <c r="M129" s="60">
        <f>L129+180</f>
        <v>42581</v>
      </c>
      <c r="N129" s="51">
        <v>11521680.17</v>
      </c>
      <c r="O129" s="59" t="s">
        <v>4286</v>
      </c>
      <c r="P129" s="59">
        <f>M129+300</f>
        <v>42881</v>
      </c>
      <c r="Q129" s="51"/>
      <c r="R129" s="51">
        <f>N129+Q129</f>
        <v>11521680.17</v>
      </c>
      <c r="S129" s="51">
        <v>446597.01</v>
      </c>
      <c r="T129" s="52" t="s">
        <v>211</v>
      </c>
      <c r="U129" s="51">
        <v>2336963.54</v>
      </c>
      <c r="V129" s="51">
        <v>1514164.84</v>
      </c>
      <c r="W129" s="51">
        <v>1514164.84</v>
      </c>
      <c r="X129" s="51">
        <v>6753539.1699999999</v>
      </c>
      <c r="Y129" s="19" t="s">
        <v>42</v>
      </c>
      <c r="Z129" s="19"/>
      <c r="AA129" s="28"/>
      <c r="AB129" s="56"/>
      <c r="AC129" s="28"/>
      <c r="AD129" s="28"/>
      <c r="AE129" s="54"/>
      <c r="AF129" s="54"/>
      <c r="AG129" s="54"/>
      <c r="AH129" s="53"/>
      <c r="AI129" s="53" t="s">
        <v>1591</v>
      </c>
      <c r="AJ129" s="53" t="s">
        <v>1591</v>
      </c>
    </row>
    <row r="130" spans="1:36" s="3" customFormat="1" ht="84" x14ac:dyDescent="0.25">
      <c r="A130" s="17" t="s">
        <v>182</v>
      </c>
      <c r="B130" s="18" t="s">
        <v>2694</v>
      </c>
      <c r="C130" s="19" t="s">
        <v>4057</v>
      </c>
      <c r="D130" s="45" t="s">
        <v>2368</v>
      </c>
      <c r="E130" s="50" t="s">
        <v>46</v>
      </c>
      <c r="F130" s="58" t="s">
        <v>46</v>
      </c>
      <c r="G130" s="51" t="s">
        <v>46</v>
      </c>
      <c r="H130" s="51" t="s">
        <v>46</v>
      </c>
      <c r="I130" s="50" t="s">
        <v>2369</v>
      </c>
      <c r="J130" s="58" t="s">
        <v>2370</v>
      </c>
      <c r="K130" s="52" t="s">
        <v>2371</v>
      </c>
      <c r="L130" s="59">
        <v>41572</v>
      </c>
      <c r="M130" s="60">
        <f>L130+240</f>
        <v>41812</v>
      </c>
      <c r="N130" s="51">
        <v>9365401.0099999998</v>
      </c>
      <c r="O130" s="59" t="s">
        <v>4288</v>
      </c>
      <c r="P130" s="59">
        <f>M130+570</f>
        <v>42382</v>
      </c>
      <c r="Q130" s="51">
        <v>1995573.59</v>
      </c>
      <c r="R130" s="51">
        <f>N130+Q130</f>
        <v>11360974.6</v>
      </c>
      <c r="S130" s="51">
        <v>1964805.13</v>
      </c>
      <c r="T130" s="52" t="s">
        <v>211</v>
      </c>
      <c r="U130" s="51">
        <v>2678020.8199999998</v>
      </c>
      <c r="V130" s="51">
        <v>1715185.91</v>
      </c>
      <c r="W130" s="51">
        <v>1715185.91</v>
      </c>
      <c r="X130" s="51">
        <v>7790166.2400000002</v>
      </c>
      <c r="Y130" s="19" t="s">
        <v>2273</v>
      </c>
      <c r="Z130" s="19"/>
      <c r="AA130" s="28"/>
      <c r="AB130" s="56"/>
      <c r="AC130" s="28"/>
      <c r="AD130" s="28"/>
      <c r="AE130" s="54"/>
      <c r="AF130" s="54"/>
      <c r="AG130" s="54"/>
      <c r="AH130" s="53"/>
      <c r="AI130" s="53" t="s">
        <v>1591</v>
      </c>
      <c r="AJ130" s="53" t="s">
        <v>1591</v>
      </c>
    </row>
    <row r="131" spans="1:36" s="3" customFormat="1" ht="48" x14ac:dyDescent="0.25">
      <c r="A131" s="17" t="s">
        <v>182</v>
      </c>
      <c r="B131" s="34" t="s">
        <v>2694</v>
      </c>
      <c r="C131" s="76" t="s">
        <v>6090</v>
      </c>
      <c r="D131" s="45" t="s">
        <v>6091</v>
      </c>
      <c r="E131" s="78" t="s">
        <v>46</v>
      </c>
      <c r="F131" s="79" t="s">
        <v>46</v>
      </c>
      <c r="G131" s="80" t="s">
        <v>46</v>
      </c>
      <c r="H131" s="80" t="s">
        <v>46</v>
      </c>
      <c r="I131" s="78" t="s">
        <v>2351</v>
      </c>
      <c r="J131" s="79" t="s">
        <v>6092</v>
      </c>
      <c r="K131" s="81" t="s">
        <v>6093</v>
      </c>
      <c r="L131" s="82">
        <v>41178</v>
      </c>
      <c r="M131" s="83">
        <v>41539</v>
      </c>
      <c r="N131" s="80">
        <v>10957381.26</v>
      </c>
      <c r="O131" s="82" t="s">
        <v>6094</v>
      </c>
      <c r="P131" s="84" t="s">
        <v>46</v>
      </c>
      <c r="Q131" s="80">
        <v>64691.86999999918</v>
      </c>
      <c r="R131" s="80">
        <v>11022073.129999999</v>
      </c>
      <c r="S131" s="80">
        <v>1180573.22</v>
      </c>
      <c r="T131" s="81" t="s">
        <v>211</v>
      </c>
      <c r="U131" s="80"/>
      <c r="V131" s="80"/>
      <c r="W131" s="80"/>
      <c r="X131" s="80">
        <v>5953609.6399999997</v>
      </c>
      <c r="Y131" s="76" t="s">
        <v>646</v>
      </c>
      <c r="Z131" s="19" t="s">
        <v>7038</v>
      </c>
      <c r="AA131" s="28"/>
      <c r="AB131" s="56"/>
      <c r="AC131" s="28"/>
      <c r="AD131" s="28"/>
      <c r="AE131" s="54"/>
      <c r="AF131" s="54"/>
      <c r="AG131" s="54"/>
      <c r="AH131" s="53"/>
      <c r="AI131" s="53" t="s">
        <v>1591</v>
      </c>
      <c r="AJ131" s="53" t="s">
        <v>1591</v>
      </c>
    </row>
    <row r="132" spans="1:36" s="3" customFormat="1" ht="48" x14ac:dyDescent="0.25">
      <c r="A132" s="17" t="s">
        <v>182</v>
      </c>
      <c r="B132" s="34" t="s">
        <v>2694</v>
      </c>
      <c r="C132" s="76" t="s">
        <v>6095</v>
      </c>
      <c r="D132" s="45" t="s">
        <v>6096</v>
      </c>
      <c r="E132" s="78" t="s">
        <v>46</v>
      </c>
      <c r="F132" s="79" t="s">
        <v>46</v>
      </c>
      <c r="G132" s="80" t="s">
        <v>46</v>
      </c>
      <c r="H132" s="80" t="s">
        <v>46</v>
      </c>
      <c r="I132" s="78" t="s">
        <v>6097</v>
      </c>
      <c r="J132" s="79" t="s">
        <v>2354</v>
      </c>
      <c r="K132" s="81" t="s">
        <v>6098</v>
      </c>
      <c r="L132" s="82">
        <v>41800</v>
      </c>
      <c r="M132" s="83">
        <v>42100</v>
      </c>
      <c r="N132" s="80">
        <v>10130251.83</v>
      </c>
      <c r="O132" s="82" t="s">
        <v>6099</v>
      </c>
      <c r="P132" s="84" t="s">
        <v>46</v>
      </c>
      <c r="Q132" s="80">
        <v>0</v>
      </c>
      <c r="R132" s="80">
        <v>10130251.83</v>
      </c>
      <c r="S132" s="80">
        <v>87534.31</v>
      </c>
      <c r="T132" s="81" t="s">
        <v>211</v>
      </c>
      <c r="U132" s="80"/>
      <c r="V132" s="80"/>
      <c r="W132" s="80"/>
      <c r="X132" s="80">
        <v>8262021.5899999999</v>
      </c>
      <c r="Y132" s="76" t="s">
        <v>41</v>
      </c>
      <c r="Z132" s="19" t="s">
        <v>7038</v>
      </c>
      <c r="AA132" s="28"/>
      <c r="AB132" s="56"/>
      <c r="AC132" s="28"/>
      <c r="AD132" s="28"/>
      <c r="AE132" s="54"/>
      <c r="AF132" s="54"/>
      <c r="AG132" s="54"/>
      <c r="AH132" s="53"/>
      <c r="AI132" s="53" t="s">
        <v>1591</v>
      </c>
      <c r="AJ132" s="53" t="s">
        <v>1591</v>
      </c>
    </row>
    <row r="133" spans="1:36" s="3" customFormat="1" ht="36" x14ac:dyDescent="0.25">
      <c r="A133" s="35" t="s">
        <v>182</v>
      </c>
      <c r="B133" s="34" t="s">
        <v>2694</v>
      </c>
      <c r="C133" s="76"/>
      <c r="D133" s="43" t="s">
        <v>6100</v>
      </c>
      <c r="E133" s="78"/>
      <c r="F133" s="36"/>
      <c r="G133" s="80"/>
      <c r="H133" s="80"/>
      <c r="I133" s="36" t="s">
        <v>6101</v>
      </c>
      <c r="J133" s="34" t="s">
        <v>6102</v>
      </c>
      <c r="K133" s="37" t="s">
        <v>6103</v>
      </c>
      <c r="L133" s="38">
        <v>41233</v>
      </c>
      <c r="M133" s="39">
        <v>41413</v>
      </c>
      <c r="N133" s="42">
        <v>7996722.1200000001</v>
      </c>
      <c r="O133" s="85">
        <v>41412</v>
      </c>
      <c r="P133" s="86">
        <v>41643</v>
      </c>
      <c r="Q133" s="41">
        <v>801510.56</v>
      </c>
      <c r="R133" s="41">
        <v>8798232.6799999997</v>
      </c>
      <c r="S133" s="80"/>
      <c r="T133" s="81"/>
      <c r="U133" s="80"/>
      <c r="V133" s="80"/>
      <c r="W133" s="42"/>
      <c r="X133" s="42">
        <v>7430314.21</v>
      </c>
      <c r="Y133" s="34" t="s">
        <v>4321</v>
      </c>
      <c r="Z133" s="19" t="s">
        <v>7038</v>
      </c>
      <c r="AA133" s="28"/>
      <c r="AB133" s="56"/>
      <c r="AC133" s="28"/>
      <c r="AD133" s="28"/>
      <c r="AE133" s="54"/>
      <c r="AF133" s="54"/>
      <c r="AG133" s="54"/>
      <c r="AH133" s="53"/>
      <c r="AI133" s="53" t="s">
        <v>1591</v>
      </c>
      <c r="AJ133" s="53" t="s">
        <v>1591</v>
      </c>
    </row>
    <row r="134" spans="1:36" s="3" customFormat="1" ht="36" x14ac:dyDescent="0.25">
      <c r="A134" s="35" t="s">
        <v>182</v>
      </c>
      <c r="B134" s="34" t="s">
        <v>2694</v>
      </c>
      <c r="C134" s="76"/>
      <c r="D134" s="43" t="s">
        <v>6104</v>
      </c>
      <c r="E134" s="78"/>
      <c r="F134" s="36"/>
      <c r="G134" s="80"/>
      <c r="H134" s="80"/>
      <c r="I134" s="36" t="s">
        <v>335</v>
      </c>
      <c r="J134" s="34" t="s">
        <v>2314</v>
      </c>
      <c r="K134" s="37" t="s">
        <v>6105</v>
      </c>
      <c r="L134" s="38">
        <v>39811</v>
      </c>
      <c r="M134" s="39">
        <v>39991</v>
      </c>
      <c r="N134" s="42">
        <v>8588174.5999999996</v>
      </c>
      <c r="O134" s="85" t="s">
        <v>6106</v>
      </c>
      <c r="P134" s="86">
        <v>40351</v>
      </c>
      <c r="Q134" s="41"/>
      <c r="R134" s="41">
        <v>8588174.5999999996</v>
      </c>
      <c r="S134" s="80"/>
      <c r="T134" s="81"/>
      <c r="U134" s="80"/>
      <c r="V134" s="80"/>
      <c r="W134" s="42"/>
      <c r="X134" s="42">
        <v>4214010.29</v>
      </c>
      <c r="Y134" s="34" t="s">
        <v>4321</v>
      </c>
      <c r="Z134" s="19" t="s">
        <v>7038</v>
      </c>
      <c r="AA134" s="28"/>
      <c r="AB134" s="56"/>
      <c r="AC134" s="28"/>
      <c r="AD134" s="28"/>
      <c r="AE134" s="54"/>
      <c r="AF134" s="54"/>
      <c r="AG134" s="54"/>
      <c r="AH134" s="53"/>
      <c r="AI134" s="53" t="s">
        <v>1591</v>
      </c>
      <c r="AJ134" s="53" t="s">
        <v>1591</v>
      </c>
    </row>
    <row r="135" spans="1:36" s="3" customFormat="1" ht="36" x14ac:dyDescent="0.25">
      <c r="A135" s="17" t="s">
        <v>182</v>
      </c>
      <c r="B135" s="18" t="s">
        <v>2694</v>
      </c>
      <c r="C135" s="19" t="s">
        <v>2377</v>
      </c>
      <c r="D135" s="45" t="s">
        <v>2378</v>
      </c>
      <c r="E135" s="50" t="s">
        <v>46</v>
      </c>
      <c r="F135" s="58" t="s">
        <v>46</v>
      </c>
      <c r="G135" s="51" t="s">
        <v>46</v>
      </c>
      <c r="H135" s="51" t="s">
        <v>46</v>
      </c>
      <c r="I135" s="50" t="s">
        <v>2344</v>
      </c>
      <c r="J135" s="58" t="s">
        <v>2355</v>
      </c>
      <c r="K135" s="52" t="s">
        <v>2379</v>
      </c>
      <c r="L135" s="59">
        <v>42628</v>
      </c>
      <c r="M135" s="60">
        <f>L135+90</f>
        <v>42718</v>
      </c>
      <c r="N135" s="51">
        <v>6288953.25</v>
      </c>
      <c r="O135" s="59" t="s">
        <v>2380</v>
      </c>
      <c r="P135" s="59">
        <f>L135+90</f>
        <v>42718</v>
      </c>
      <c r="Q135" s="51">
        <v>1571829.81</v>
      </c>
      <c r="R135" s="51">
        <f>N135+Q135</f>
        <v>7860783.0600000005</v>
      </c>
      <c r="S135" s="51">
        <v>710170.38</v>
      </c>
      <c r="T135" s="52" t="s">
        <v>211</v>
      </c>
      <c r="U135" s="51">
        <v>732318.98</v>
      </c>
      <c r="V135" s="51">
        <v>1096746.23</v>
      </c>
      <c r="W135" s="51">
        <v>1096746.23</v>
      </c>
      <c r="X135" s="51">
        <v>23499</v>
      </c>
      <c r="Y135" s="19" t="s">
        <v>42</v>
      </c>
      <c r="Z135" s="19"/>
      <c r="AA135" s="28"/>
      <c r="AB135" s="56"/>
      <c r="AC135" s="28"/>
      <c r="AD135" s="28"/>
      <c r="AE135" s="54"/>
      <c r="AF135" s="54"/>
      <c r="AG135" s="54"/>
      <c r="AH135" s="53"/>
      <c r="AI135" s="53" t="s">
        <v>1591</v>
      </c>
      <c r="AJ135" s="53" t="s">
        <v>1591</v>
      </c>
    </row>
    <row r="136" spans="1:36" s="3" customFormat="1" ht="48" x14ac:dyDescent="0.25">
      <c r="A136" s="35" t="s">
        <v>182</v>
      </c>
      <c r="B136" s="34" t="s">
        <v>2694</v>
      </c>
      <c r="C136" s="76"/>
      <c r="D136" s="43" t="s">
        <v>6107</v>
      </c>
      <c r="E136" s="78"/>
      <c r="F136" s="36"/>
      <c r="G136" s="80"/>
      <c r="H136" s="80"/>
      <c r="I136" s="36" t="s">
        <v>2352</v>
      </c>
      <c r="J136" s="34" t="s">
        <v>2353</v>
      </c>
      <c r="K136" s="37" t="s">
        <v>6108</v>
      </c>
      <c r="L136" s="38">
        <v>41613</v>
      </c>
      <c r="M136" s="39">
        <v>41973</v>
      </c>
      <c r="N136" s="42">
        <v>6636277.04</v>
      </c>
      <c r="O136" s="85" t="s">
        <v>6109</v>
      </c>
      <c r="P136" s="86"/>
      <c r="Q136" s="41">
        <v>955795.46</v>
      </c>
      <c r="R136" s="41">
        <v>7592072.5</v>
      </c>
      <c r="S136" s="80"/>
      <c r="T136" s="81"/>
      <c r="U136" s="80"/>
      <c r="V136" s="80"/>
      <c r="W136" s="42"/>
      <c r="X136" s="42">
        <v>2398202.4</v>
      </c>
      <c r="Y136" s="34" t="s">
        <v>4321</v>
      </c>
      <c r="Z136" s="19" t="s">
        <v>7038</v>
      </c>
      <c r="AA136" s="28"/>
      <c r="AB136" s="56"/>
      <c r="AC136" s="28"/>
      <c r="AD136" s="28"/>
      <c r="AE136" s="54"/>
      <c r="AF136" s="54"/>
      <c r="AG136" s="54"/>
      <c r="AH136" s="53"/>
      <c r="AI136" s="53" t="s">
        <v>1591</v>
      </c>
      <c r="AJ136" s="53" t="s">
        <v>1591</v>
      </c>
    </row>
    <row r="137" spans="1:36" s="3" customFormat="1" ht="48" x14ac:dyDescent="0.25">
      <c r="A137" s="35" t="s">
        <v>182</v>
      </c>
      <c r="B137" s="34" t="s">
        <v>2694</v>
      </c>
      <c r="C137" s="76"/>
      <c r="D137" s="43" t="s">
        <v>6110</v>
      </c>
      <c r="E137" s="78"/>
      <c r="F137" s="36"/>
      <c r="G137" s="80"/>
      <c r="H137" s="80"/>
      <c r="I137" s="36" t="s">
        <v>6072</v>
      </c>
      <c r="J137" s="34" t="s">
        <v>6059</v>
      </c>
      <c r="K137" s="37" t="s">
        <v>6111</v>
      </c>
      <c r="L137" s="38">
        <v>41704</v>
      </c>
      <c r="M137" s="39">
        <v>41944</v>
      </c>
      <c r="N137" s="42">
        <v>7451992.6900000004</v>
      </c>
      <c r="O137" s="85" t="s">
        <v>6112</v>
      </c>
      <c r="P137" s="86"/>
      <c r="Q137" s="41"/>
      <c r="R137" s="41">
        <v>7451992.6900000004</v>
      </c>
      <c r="S137" s="80"/>
      <c r="T137" s="81"/>
      <c r="U137" s="80"/>
      <c r="V137" s="80"/>
      <c r="W137" s="42"/>
      <c r="X137" s="42">
        <v>3951293.8</v>
      </c>
      <c r="Y137" s="34" t="s">
        <v>4321</v>
      </c>
      <c r="Z137" s="19" t="s">
        <v>7038</v>
      </c>
      <c r="AA137" s="28"/>
      <c r="AB137" s="56"/>
      <c r="AC137" s="28"/>
      <c r="AD137" s="28"/>
      <c r="AE137" s="54"/>
      <c r="AF137" s="54"/>
      <c r="AG137" s="54"/>
      <c r="AH137" s="53"/>
      <c r="AI137" s="53" t="s">
        <v>1591</v>
      </c>
      <c r="AJ137" s="53" t="s">
        <v>1591</v>
      </c>
    </row>
    <row r="138" spans="1:36" s="3" customFormat="1" ht="72" x14ac:dyDescent="0.25">
      <c r="A138" s="17" t="s">
        <v>182</v>
      </c>
      <c r="B138" s="18" t="s">
        <v>2694</v>
      </c>
      <c r="C138" s="19" t="s">
        <v>4055</v>
      </c>
      <c r="D138" s="45" t="s">
        <v>4056</v>
      </c>
      <c r="E138" s="50" t="s">
        <v>46</v>
      </c>
      <c r="F138" s="58" t="s">
        <v>46</v>
      </c>
      <c r="G138" s="51" t="s">
        <v>46</v>
      </c>
      <c r="H138" s="51" t="s">
        <v>46</v>
      </c>
      <c r="I138" s="50" t="s">
        <v>2369</v>
      </c>
      <c r="J138" s="58" t="s">
        <v>2370</v>
      </c>
      <c r="K138" s="52" t="s">
        <v>4209</v>
      </c>
      <c r="L138" s="59">
        <v>42948</v>
      </c>
      <c r="M138" s="60">
        <f>L138+120</f>
        <v>43068</v>
      </c>
      <c r="N138" s="51">
        <v>5655015.5099999998</v>
      </c>
      <c r="O138" s="59" t="s">
        <v>4287</v>
      </c>
      <c r="P138" s="59">
        <f>L138+60</f>
        <v>43008</v>
      </c>
      <c r="Q138" s="51"/>
      <c r="R138" s="51">
        <f>N138+Q138</f>
        <v>5655015.5099999998</v>
      </c>
      <c r="S138" s="51">
        <v>70672.61</v>
      </c>
      <c r="T138" s="52" t="s">
        <v>211</v>
      </c>
      <c r="U138" s="51">
        <v>1000866.62</v>
      </c>
      <c r="V138" s="51">
        <v>373110.35</v>
      </c>
      <c r="W138" s="51">
        <v>373110.35</v>
      </c>
      <c r="X138" s="51">
        <v>373110.35</v>
      </c>
      <c r="Y138" s="19" t="s">
        <v>2273</v>
      </c>
      <c r="Z138" s="19"/>
      <c r="AA138" s="28"/>
      <c r="AB138" s="56"/>
      <c r="AC138" s="28"/>
      <c r="AD138" s="28"/>
      <c r="AE138" s="54"/>
      <c r="AF138" s="54"/>
      <c r="AG138" s="54"/>
      <c r="AH138" s="53"/>
      <c r="AI138" s="53" t="s">
        <v>1591</v>
      </c>
      <c r="AJ138" s="53" t="s">
        <v>1591</v>
      </c>
    </row>
    <row r="139" spans="1:36" s="3" customFormat="1" ht="48" x14ac:dyDescent="0.25">
      <c r="A139" s="17" t="s">
        <v>182</v>
      </c>
      <c r="B139" s="18" t="s">
        <v>2694</v>
      </c>
      <c r="C139" s="19" t="s">
        <v>4058</v>
      </c>
      <c r="D139" s="45" t="s">
        <v>4059</v>
      </c>
      <c r="E139" s="50" t="s">
        <v>46</v>
      </c>
      <c r="F139" s="58" t="s">
        <v>46</v>
      </c>
      <c r="G139" s="51" t="s">
        <v>46</v>
      </c>
      <c r="H139" s="51" t="s">
        <v>46</v>
      </c>
      <c r="I139" s="50" t="s">
        <v>2313</v>
      </c>
      <c r="J139" s="58" t="s">
        <v>2314</v>
      </c>
      <c r="K139" s="52" t="s">
        <v>4210</v>
      </c>
      <c r="L139" s="59">
        <v>40394</v>
      </c>
      <c r="M139" s="60">
        <f>L139+731</f>
        <v>41125</v>
      </c>
      <c r="N139" s="51">
        <v>4680859.41</v>
      </c>
      <c r="O139" s="59" t="s">
        <v>4289</v>
      </c>
      <c r="P139" s="59" t="s">
        <v>46</v>
      </c>
      <c r="Q139" s="51"/>
      <c r="R139" s="51">
        <f>N139+Q139</f>
        <v>4680859.41</v>
      </c>
      <c r="S139" s="51">
        <v>1333350.8700000001</v>
      </c>
      <c r="T139" s="52" t="s">
        <v>1054</v>
      </c>
      <c r="U139" s="51" t="s">
        <v>46</v>
      </c>
      <c r="V139" s="51">
        <v>14270.02</v>
      </c>
      <c r="W139" s="51">
        <v>14270.02</v>
      </c>
      <c r="X139" s="51">
        <v>3218884.06</v>
      </c>
      <c r="Y139" s="19" t="s">
        <v>41</v>
      </c>
      <c r="Z139" s="19"/>
      <c r="AA139" s="28"/>
      <c r="AB139" s="56"/>
      <c r="AC139" s="28"/>
      <c r="AD139" s="28"/>
      <c r="AE139" s="54"/>
      <c r="AF139" s="54"/>
      <c r="AG139" s="54"/>
      <c r="AH139" s="53"/>
      <c r="AI139" s="53" t="s">
        <v>1591</v>
      </c>
      <c r="AJ139" s="53" t="s">
        <v>1591</v>
      </c>
    </row>
    <row r="140" spans="1:36" s="3" customFormat="1" ht="72" x14ac:dyDescent="0.25">
      <c r="A140" s="17" t="s">
        <v>182</v>
      </c>
      <c r="B140" s="18" t="s">
        <v>2694</v>
      </c>
      <c r="C140" s="19" t="s">
        <v>2333</v>
      </c>
      <c r="D140" s="45" t="s">
        <v>2334</v>
      </c>
      <c r="E140" s="50" t="s">
        <v>46</v>
      </c>
      <c r="F140" s="58" t="s">
        <v>46</v>
      </c>
      <c r="G140" s="51" t="s">
        <v>46</v>
      </c>
      <c r="H140" s="51" t="s">
        <v>46</v>
      </c>
      <c r="I140" s="50" t="s">
        <v>2335</v>
      </c>
      <c r="J140" s="58" t="s">
        <v>2336</v>
      </c>
      <c r="K140" s="52" t="s">
        <v>2337</v>
      </c>
      <c r="L140" s="59">
        <v>42219</v>
      </c>
      <c r="M140" s="60">
        <f>L140+120</f>
        <v>42339</v>
      </c>
      <c r="N140" s="51">
        <v>3657620.11</v>
      </c>
      <c r="O140" s="59" t="s">
        <v>2338</v>
      </c>
      <c r="P140" s="59">
        <f>M140+200</f>
        <v>42539</v>
      </c>
      <c r="Q140" s="51">
        <v>907046.68</v>
      </c>
      <c r="R140" s="51">
        <f>N140+Q140</f>
        <v>4564666.79</v>
      </c>
      <c r="S140" s="51">
        <v>386743.64</v>
      </c>
      <c r="T140" s="52" t="s">
        <v>211</v>
      </c>
      <c r="U140" s="51">
        <v>1208088.67</v>
      </c>
      <c r="V140" s="51">
        <v>88637.62</v>
      </c>
      <c r="W140" s="51">
        <v>88637.62</v>
      </c>
      <c r="X140" s="51">
        <v>2887497.05</v>
      </c>
      <c r="Y140" s="19" t="s">
        <v>42</v>
      </c>
      <c r="Z140" s="19"/>
      <c r="AA140" s="28"/>
      <c r="AB140" s="56"/>
      <c r="AC140" s="28"/>
      <c r="AD140" s="28"/>
      <c r="AE140" s="54"/>
      <c r="AF140" s="54"/>
      <c r="AG140" s="54"/>
      <c r="AH140" s="53"/>
      <c r="AI140" s="53" t="s">
        <v>1591</v>
      </c>
      <c r="AJ140" s="53" t="s">
        <v>1591</v>
      </c>
    </row>
    <row r="141" spans="1:36" s="3" customFormat="1" ht="60" x14ac:dyDescent="0.25">
      <c r="A141" s="35" t="s">
        <v>182</v>
      </c>
      <c r="B141" s="34" t="s">
        <v>2694</v>
      </c>
      <c r="C141" s="76"/>
      <c r="D141" s="43" t="s">
        <v>6113</v>
      </c>
      <c r="E141" s="78"/>
      <c r="F141" s="36"/>
      <c r="G141" s="80"/>
      <c r="H141" s="80"/>
      <c r="I141" s="36" t="s">
        <v>6114</v>
      </c>
      <c r="J141" s="34" t="s">
        <v>6115</v>
      </c>
      <c r="K141" s="37" t="s">
        <v>6116</v>
      </c>
      <c r="L141" s="38">
        <v>41613</v>
      </c>
      <c r="M141" s="39">
        <v>41853</v>
      </c>
      <c r="N141" s="42">
        <v>3841105.4</v>
      </c>
      <c r="O141" s="85" t="s">
        <v>6117</v>
      </c>
      <c r="P141" s="86"/>
      <c r="Q141" s="41"/>
      <c r="R141" s="41">
        <v>3841105.4</v>
      </c>
      <c r="S141" s="80"/>
      <c r="T141" s="81"/>
      <c r="U141" s="80"/>
      <c r="V141" s="80"/>
      <c r="W141" s="42"/>
      <c r="X141" s="42">
        <v>908924.2</v>
      </c>
      <c r="Y141" s="34" t="s">
        <v>4321</v>
      </c>
      <c r="Z141" s="19" t="s">
        <v>7038</v>
      </c>
      <c r="AA141" s="28"/>
      <c r="AB141" s="56"/>
      <c r="AC141" s="28"/>
      <c r="AD141" s="28"/>
      <c r="AE141" s="54"/>
      <c r="AF141" s="54"/>
      <c r="AG141" s="54"/>
      <c r="AH141" s="53"/>
      <c r="AI141" s="53" t="s">
        <v>1591</v>
      </c>
      <c r="AJ141" s="53" t="s">
        <v>1591</v>
      </c>
    </row>
    <row r="142" spans="1:36" s="3" customFormat="1" ht="192" x14ac:dyDescent="0.25">
      <c r="A142" s="17" t="s">
        <v>182</v>
      </c>
      <c r="B142" s="18" t="s">
        <v>2958</v>
      </c>
      <c r="C142" s="19" t="s">
        <v>488</v>
      </c>
      <c r="D142" s="45" t="s">
        <v>489</v>
      </c>
      <c r="E142" s="50"/>
      <c r="F142" s="58"/>
      <c r="G142" s="51"/>
      <c r="H142" s="51"/>
      <c r="I142" s="50" t="s">
        <v>485</v>
      </c>
      <c r="J142" s="58" t="s">
        <v>486</v>
      </c>
      <c r="K142" s="52" t="s">
        <v>490</v>
      </c>
      <c r="L142" s="59" t="s">
        <v>2874</v>
      </c>
      <c r="M142" s="60">
        <f>L142+790</f>
        <v>42463</v>
      </c>
      <c r="N142" s="51">
        <v>27948076.91</v>
      </c>
      <c r="O142" s="59">
        <v>42463</v>
      </c>
      <c r="P142" s="59" t="s">
        <v>46</v>
      </c>
      <c r="Q142" s="51">
        <v>3571925.62</v>
      </c>
      <c r="R142" s="51">
        <f>N142+Q142</f>
        <v>31520002.530000001</v>
      </c>
      <c r="S142" s="51" t="s">
        <v>46</v>
      </c>
      <c r="T142" s="52" t="s">
        <v>52</v>
      </c>
      <c r="U142" s="51">
        <v>0</v>
      </c>
      <c r="V142" s="51">
        <v>0</v>
      </c>
      <c r="W142" s="51">
        <v>0</v>
      </c>
      <c r="X142" s="51">
        <v>2771177.68</v>
      </c>
      <c r="Y142" s="19" t="s">
        <v>498</v>
      </c>
      <c r="Z142" s="19"/>
      <c r="AA142" s="28" t="s">
        <v>7163</v>
      </c>
      <c r="AB142" s="56">
        <v>43427</v>
      </c>
      <c r="AC142" s="28" t="s">
        <v>7164</v>
      </c>
      <c r="AD142" s="28" t="s">
        <v>7165</v>
      </c>
      <c r="AE142" s="54" t="s">
        <v>7166</v>
      </c>
      <c r="AF142" s="54"/>
      <c r="AG142" s="54" t="s">
        <v>7167</v>
      </c>
      <c r="AH142" s="53" t="s">
        <v>1591</v>
      </c>
      <c r="AI142" s="53" t="s">
        <v>2686</v>
      </c>
      <c r="AJ142" s="53" t="s">
        <v>1591</v>
      </c>
    </row>
    <row r="143" spans="1:36" s="3" customFormat="1" ht="48" x14ac:dyDescent="0.25">
      <c r="A143" s="17" t="s">
        <v>182</v>
      </c>
      <c r="B143" s="18" t="s">
        <v>2383</v>
      </c>
      <c r="C143" s="19" t="s">
        <v>2956</v>
      </c>
      <c r="D143" s="45" t="s">
        <v>2957</v>
      </c>
      <c r="E143" s="50" t="s">
        <v>3120</v>
      </c>
      <c r="F143" s="58" t="s">
        <v>3121</v>
      </c>
      <c r="G143" s="51">
        <v>450000</v>
      </c>
      <c r="H143" s="51">
        <v>385435.29</v>
      </c>
      <c r="I143" s="50" t="s">
        <v>239</v>
      </c>
      <c r="J143" s="58" t="s">
        <v>511</v>
      </c>
      <c r="K143" s="52" t="s">
        <v>174</v>
      </c>
      <c r="L143" s="59">
        <v>42646</v>
      </c>
      <c r="M143" s="60">
        <f>L143+150</f>
        <v>42796</v>
      </c>
      <c r="N143" s="51">
        <v>576165.99</v>
      </c>
      <c r="O143" s="59">
        <v>43223</v>
      </c>
      <c r="P143" s="59"/>
      <c r="Q143" s="51">
        <v>0</v>
      </c>
      <c r="R143" s="51">
        <f>N143+Q143</f>
        <v>576165.99</v>
      </c>
      <c r="S143" s="51">
        <v>0</v>
      </c>
      <c r="T143" s="52" t="s">
        <v>211</v>
      </c>
      <c r="U143" s="51" t="s">
        <v>3325</v>
      </c>
      <c r="V143" s="51" t="s">
        <v>3325</v>
      </c>
      <c r="W143" s="51">
        <v>21343.82</v>
      </c>
      <c r="X143" s="72">
        <v>99615.87</v>
      </c>
      <c r="Y143" s="19" t="s">
        <v>575</v>
      </c>
      <c r="Z143" s="19"/>
      <c r="AA143" s="28" t="s">
        <v>8385</v>
      </c>
      <c r="AB143" s="56">
        <v>43410</v>
      </c>
      <c r="AC143" s="100">
        <v>43221</v>
      </c>
      <c r="AD143" s="28" t="s">
        <v>8386</v>
      </c>
      <c r="AE143" s="54"/>
      <c r="AF143" s="54"/>
      <c r="AG143" s="54" t="s">
        <v>8387</v>
      </c>
      <c r="AH143" s="53" t="s">
        <v>1591</v>
      </c>
      <c r="AI143" s="53" t="s">
        <v>2686</v>
      </c>
      <c r="AJ143" s="53" t="s">
        <v>1591</v>
      </c>
    </row>
    <row r="144" spans="1:36" s="3" customFormat="1" ht="36" x14ac:dyDescent="0.25">
      <c r="A144" s="35" t="s">
        <v>182</v>
      </c>
      <c r="B144" s="34" t="s">
        <v>2695</v>
      </c>
      <c r="C144" s="76"/>
      <c r="D144" s="43" t="s">
        <v>6119</v>
      </c>
      <c r="E144" s="78"/>
      <c r="F144" s="36"/>
      <c r="G144" s="80"/>
      <c r="H144" s="80"/>
      <c r="I144" s="36" t="s">
        <v>262</v>
      </c>
      <c r="J144" s="34" t="s">
        <v>6120</v>
      </c>
      <c r="K144" s="37" t="s">
        <v>6121</v>
      </c>
      <c r="L144" s="38" t="s">
        <v>6122</v>
      </c>
      <c r="M144" s="39">
        <v>41297</v>
      </c>
      <c r="N144" s="42">
        <v>5135934.53</v>
      </c>
      <c r="O144" s="85"/>
      <c r="P144" s="86">
        <v>41627</v>
      </c>
      <c r="Q144" s="41"/>
      <c r="R144" s="41">
        <v>5135934.53</v>
      </c>
      <c r="S144" s="80"/>
      <c r="T144" s="81"/>
      <c r="U144" s="80"/>
      <c r="V144" s="80"/>
      <c r="W144" s="42"/>
      <c r="X144" s="42">
        <v>4821232.95</v>
      </c>
      <c r="Y144" s="34" t="s">
        <v>4321</v>
      </c>
      <c r="Z144" s="19" t="s">
        <v>7038</v>
      </c>
      <c r="AA144" s="28"/>
      <c r="AB144" s="56"/>
      <c r="AC144" s="28"/>
      <c r="AD144" s="28"/>
      <c r="AE144" s="54"/>
      <c r="AF144" s="54"/>
      <c r="AG144" s="54"/>
      <c r="AH144" s="53"/>
      <c r="AI144" s="53" t="s">
        <v>1591</v>
      </c>
      <c r="AJ144" s="53" t="s">
        <v>1591</v>
      </c>
    </row>
    <row r="145" spans="1:36" s="3" customFormat="1" ht="60" x14ac:dyDescent="0.25">
      <c r="A145" s="35" t="s">
        <v>182</v>
      </c>
      <c r="B145" s="34" t="s">
        <v>2695</v>
      </c>
      <c r="C145" s="76"/>
      <c r="D145" s="43" t="s">
        <v>6123</v>
      </c>
      <c r="E145" s="78"/>
      <c r="F145" s="36"/>
      <c r="G145" s="80"/>
      <c r="H145" s="80"/>
      <c r="I145" s="36" t="s">
        <v>6124</v>
      </c>
      <c r="J145" s="34" t="s">
        <v>319</v>
      </c>
      <c r="K145" s="37" t="s">
        <v>196</v>
      </c>
      <c r="L145" s="38" t="s">
        <v>2696</v>
      </c>
      <c r="M145" s="39">
        <v>41647</v>
      </c>
      <c r="N145" s="42">
        <v>2861707.41</v>
      </c>
      <c r="O145" s="85" t="s">
        <v>2697</v>
      </c>
      <c r="P145" s="86">
        <v>41887</v>
      </c>
      <c r="Q145" s="41">
        <v>1413980.98</v>
      </c>
      <c r="R145" s="41">
        <v>4275688.3900000006</v>
      </c>
      <c r="S145" s="80"/>
      <c r="T145" s="81"/>
      <c r="U145" s="80"/>
      <c r="V145" s="80"/>
      <c r="W145" s="42"/>
      <c r="X145" s="42">
        <v>3683719.76</v>
      </c>
      <c r="Y145" s="34" t="s">
        <v>4321</v>
      </c>
      <c r="Z145" s="19" t="s">
        <v>7038</v>
      </c>
      <c r="AA145" s="28"/>
      <c r="AB145" s="56"/>
      <c r="AC145" s="28"/>
      <c r="AD145" s="28"/>
      <c r="AE145" s="54"/>
      <c r="AF145" s="54"/>
      <c r="AG145" s="54"/>
      <c r="AH145" s="53"/>
      <c r="AI145" s="53" t="s">
        <v>1591</v>
      </c>
      <c r="AJ145" s="53" t="s">
        <v>1591</v>
      </c>
    </row>
    <row r="146" spans="1:36" s="3" customFormat="1" ht="36" x14ac:dyDescent="0.25">
      <c r="A146" s="17" t="s">
        <v>182</v>
      </c>
      <c r="B146" s="18" t="s">
        <v>2695</v>
      </c>
      <c r="C146" s="19"/>
      <c r="D146" s="45"/>
      <c r="E146" s="50"/>
      <c r="F146" s="58"/>
      <c r="G146" s="51"/>
      <c r="H146" s="51"/>
      <c r="I146" s="50" t="s">
        <v>301</v>
      </c>
      <c r="J146" s="58" t="s">
        <v>302</v>
      </c>
      <c r="K146" s="52"/>
      <c r="L146" s="59"/>
      <c r="M146" s="60"/>
      <c r="N146" s="51"/>
      <c r="O146" s="59"/>
      <c r="P146" s="59"/>
      <c r="Q146" s="51"/>
      <c r="R146" s="51">
        <f>N146+Q146</f>
        <v>0</v>
      </c>
      <c r="S146" s="51"/>
      <c r="T146" s="52"/>
      <c r="U146" s="51"/>
      <c r="V146" s="51">
        <v>0</v>
      </c>
      <c r="W146" s="51">
        <v>2282946.6800000002</v>
      </c>
      <c r="X146" s="51"/>
      <c r="Y146" s="19"/>
      <c r="Z146" s="19" t="s">
        <v>4311</v>
      </c>
      <c r="AA146" s="28"/>
      <c r="AB146" s="56"/>
      <c r="AC146" s="28"/>
      <c r="AD146" s="28"/>
      <c r="AE146" s="54"/>
      <c r="AF146" s="54"/>
      <c r="AG146" s="54"/>
      <c r="AH146" s="53"/>
      <c r="AI146" s="53" t="s">
        <v>1591</v>
      </c>
      <c r="AJ146" s="53" t="s">
        <v>1591</v>
      </c>
    </row>
    <row r="147" spans="1:36" s="3" customFormat="1" ht="36" x14ac:dyDescent="0.25">
      <c r="A147" s="35" t="s">
        <v>2685</v>
      </c>
      <c r="B147" s="34" t="s">
        <v>2698</v>
      </c>
      <c r="C147" s="76"/>
      <c r="D147" s="43" t="s">
        <v>6125</v>
      </c>
      <c r="E147" s="78"/>
      <c r="F147" s="36" t="s">
        <v>1966</v>
      </c>
      <c r="G147" s="80"/>
      <c r="H147" s="80"/>
      <c r="I147" s="36" t="s">
        <v>2401</v>
      </c>
      <c r="J147" s="34" t="s">
        <v>6126</v>
      </c>
      <c r="K147" s="37" t="s">
        <v>6127</v>
      </c>
      <c r="L147" s="38">
        <v>41529</v>
      </c>
      <c r="M147" s="39">
        <v>41649</v>
      </c>
      <c r="N147" s="42">
        <v>1738240.65</v>
      </c>
      <c r="O147" s="85" t="s">
        <v>6128</v>
      </c>
      <c r="P147" s="86">
        <v>41889</v>
      </c>
      <c r="Q147" s="41">
        <v>0</v>
      </c>
      <c r="R147" s="41">
        <v>1738240.65</v>
      </c>
      <c r="S147" s="80"/>
      <c r="T147" s="81"/>
      <c r="U147" s="80"/>
      <c r="V147" s="80"/>
      <c r="W147" s="42"/>
      <c r="X147" s="42">
        <v>247588.29</v>
      </c>
      <c r="Y147" s="34" t="s">
        <v>4321</v>
      </c>
      <c r="Z147" s="19" t="s">
        <v>7038</v>
      </c>
      <c r="AA147" s="28" t="s">
        <v>7168</v>
      </c>
      <c r="AB147" s="56">
        <v>43398</v>
      </c>
      <c r="AC147" s="28" t="s">
        <v>7169</v>
      </c>
      <c r="AD147" s="28" t="s">
        <v>7170</v>
      </c>
      <c r="AE147" s="54"/>
      <c r="AF147" s="54"/>
      <c r="AG147" s="54" t="s">
        <v>7171</v>
      </c>
      <c r="AH147" s="53" t="s">
        <v>1591</v>
      </c>
      <c r="AI147" s="53" t="s">
        <v>2686</v>
      </c>
      <c r="AJ147" s="53" t="s">
        <v>1591</v>
      </c>
    </row>
    <row r="148" spans="1:36" s="3" customFormat="1" ht="168" x14ac:dyDescent="0.25">
      <c r="A148" s="17" t="s">
        <v>182</v>
      </c>
      <c r="B148" s="18" t="s">
        <v>2698</v>
      </c>
      <c r="C148" s="19" t="s">
        <v>2008</v>
      </c>
      <c r="D148" s="45" t="s">
        <v>2641</v>
      </c>
      <c r="E148" s="50" t="s">
        <v>2642</v>
      </c>
      <c r="F148" s="58" t="s">
        <v>2643</v>
      </c>
      <c r="G148" s="51">
        <v>658337.85</v>
      </c>
      <c r="H148" s="51">
        <v>0</v>
      </c>
      <c r="I148" s="50" t="s">
        <v>2644</v>
      </c>
      <c r="J148" s="58" t="s">
        <v>2645</v>
      </c>
      <c r="K148" s="52" t="s">
        <v>999</v>
      </c>
      <c r="L148" s="59">
        <v>42257</v>
      </c>
      <c r="M148" s="60">
        <f>L148+240</f>
        <v>42497</v>
      </c>
      <c r="N148" s="51">
        <v>658337.85</v>
      </c>
      <c r="O148" s="59">
        <v>42541</v>
      </c>
      <c r="P148" s="59">
        <v>43100</v>
      </c>
      <c r="Q148" s="51">
        <v>129978.17</v>
      </c>
      <c r="R148" s="51">
        <f>N148+Q148</f>
        <v>788316.02</v>
      </c>
      <c r="S148" s="51"/>
      <c r="T148" s="52" t="s">
        <v>2637</v>
      </c>
      <c r="U148" s="51">
        <v>367400.3</v>
      </c>
      <c r="V148" s="51">
        <v>367400.3</v>
      </c>
      <c r="W148" s="51">
        <v>189477.47</v>
      </c>
      <c r="X148" s="51">
        <v>367400.3</v>
      </c>
      <c r="Y148" s="19" t="s">
        <v>3326</v>
      </c>
      <c r="Z148" s="19"/>
      <c r="AA148" s="28" t="s">
        <v>7168</v>
      </c>
      <c r="AB148" s="56">
        <v>43398</v>
      </c>
      <c r="AC148" s="28" t="s">
        <v>7169</v>
      </c>
      <c r="AD148" s="28" t="s">
        <v>7170</v>
      </c>
      <c r="AE148" s="54" t="s">
        <v>7172</v>
      </c>
      <c r="AF148" s="54"/>
      <c r="AG148" s="54" t="s">
        <v>7173</v>
      </c>
      <c r="AH148" s="53" t="s">
        <v>1591</v>
      </c>
      <c r="AI148" s="53" t="s">
        <v>2686</v>
      </c>
      <c r="AJ148" s="53" t="s">
        <v>1591</v>
      </c>
    </row>
    <row r="149" spans="1:36" s="3" customFormat="1" ht="96" x14ac:dyDescent="0.25">
      <c r="A149" s="17" t="s">
        <v>182</v>
      </c>
      <c r="B149" s="18" t="s">
        <v>2698</v>
      </c>
      <c r="C149" s="19" t="s">
        <v>2638</v>
      </c>
      <c r="D149" s="45" t="s">
        <v>2639</v>
      </c>
      <c r="E149" s="50" t="s">
        <v>1966</v>
      </c>
      <c r="F149" s="58" t="s">
        <v>1966</v>
      </c>
      <c r="G149" s="51"/>
      <c r="H149" s="51"/>
      <c r="I149" s="50" t="s">
        <v>217</v>
      </c>
      <c r="J149" s="58" t="s">
        <v>2640</v>
      </c>
      <c r="K149" s="52" t="s">
        <v>306</v>
      </c>
      <c r="L149" s="59">
        <v>41515</v>
      </c>
      <c r="M149" s="60">
        <f>L149+120</f>
        <v>41635</v>
      </c>
      <c r="N149" s="51">
        <v>635491.47</v>
      </c>
      <c r="O149" s="59">
        <v>41638</v>
      </c>
      <c r="P149" s="59" t="s">
        <v>3297</v>
      </c>
      <c r="Q149" s="51">
        <v>0</v>
      </c>
      <c r="R149" s="51">
        <f>N149+Q149</f>
        <v>635491.47</v>
      </c>
      <c r="S149" s="51"/>
      <c r="T149" s="52" t="s">
        <v>2637</v>
      </c>
      <c r="U149" s="51">
        <v>466618.49</v>
      </c>
      <c r="V149" s="51"/>
      <c r="W149" s="51"/>
      <c r="X149" s="51">
        <v>466618.49</v>
      </c>
      <c r="Y149" s="19" t="s">
        <v>646</v>
      </c>
      <c r="Z149" s="19"/>
      <c r="AA149" s="28" t="s">
        <v>7168</v>
      </c>
      <c r="AB149" s="56">
        <v>43398</v>
      </c>
      <c r="AC149" s="28" t="s">
        <v>7169</v>
      </c>
      <c r="AD149" s="28" t="s">
        <v>7170</v>
      </c>
      <c r="AE149" s="54" t="s">
        <v>7174</v>
      </c>
      <c r="AF149" s="54"/>
      <c r="AG149" s="54" t="s">
        <v>7175</v>
      </c>
      <c r="AH149" s="53" t="s">
        <v>1591</v>
      </c>
      <c r="AI149" s="53" t="s">
        <v>2686</v>
      </c>
      <c r="AJ149" s="53" t="s">
        <v>1591</v>
      </c>
    </row>
    <row r="150" spans="1:36" s="3" customFormat="1" ht="132" x14ac:dyDescent="0.25">
      <c r="A150" s="35" t="s">
        <v>182</v>
      </c>
      <c r="B150" s="18" t="s">
        <v>2699</v>
      </c>
      <c r="C150" s="19" t="s">
        <v>2959</v>
      </c>
      <c r="D150" s="43" t="s">
        <v>2646</v>
      </c>
      <c r="E150" s="50" t="s">
        <v>2647</v>
      </c>
      <c r="F150" s="36" t="s">
        <v>2647</v>
      </c>
      <c r="G150" s="51"/>
      <c r="H150" s="51"/>
      <c r="I150" s="36" t="s">
        <v>2648</v>
      </c>
      <c r="J150" s="34" t="s">
        <v>3127</v>
      </c>
      <c r="K150" s="37" t="s">
        <v>2649</v>
      </c>
      <c r="L150" s="38">
        <v>42222</v>
      </c>
      <c r="M150" s="39">
        <f>L150+365</f>
        <v>42587</v>
      </c>
      <c r="N150" s="42">
        <v>8630000</v>
      </c>
      <c r="O150" s="74">
        <v>43317</v>
      </c>
      <c r="P150" s="39">
        <v>24</v>
      </c>
      <c r="Q150" s="41">
        <v>1438275.8</v>
      </c>
      <c r="R150" s="51">
        <f>N150+Q150</f>
        <v>10068275.800000001</v>
      </c>
      <c r="S150" s="51"/>
      <c r="T150" s="52" t="s">
        <v>2650</v>
      </c>
      <c r="U150" s="51">
        <v>7864488.5299999993</v>
      </c>
      <c r="V150" s="51">
        <v>1229552.48</v>
      </c>
      <c r="W150" s="42">
        <v>1229552.48</v>
      </c>
      <c r="X150" s="42">
        <v>7864488.5299999993</v>
      </c>
      <c r="Y150" s="34" t="s">
        <v>186</v>
      </c>
      <c r="Z150" s="34"/>
      <c r="AA150" s="28" t="s">
        <v>7176</v>
      </c>
      <c r="AB150" s="56">
        <v>43395</v>
      </c>
      <c r="AC150" s="28" t="s">
        <v>7177</v>
      </c>
      <c r="AD150" s="28" t="s">
        <v>7178</v>
      </c>
      <c r="AE150" s="54" t="s">
        <v>7179</v>
      </c>
      <c r="AF150" s="54"/>
      <c r="AG150" s="54" t="s">
        <v>7180</v>
      </c>
      <c r="AH150" s="53" t="s">
        <v>39</v>
      </c>
      <c r="AI150" s="53" t="s">
        <v>2686</v>
      </c>
      <c r="AJ150" s="53" t="s">
        <v>1591</v>
      </c>
    </row>
    <row r="151" spans="1:36" s="3" customFormat="1" ht="144" x14ac:dyDescent="0.25">
      <c r="A151" s="17" t="s">
        <v>182</v>
      </c>
      <c r="B151" s="18" t="s">
        <v>2699</v>
      </c>
      <c r="C151" s="19" t="s">
        <v>2960</v>
      </c>
      <c r="D151" s="45" t="s">
        <v>2961</v>
      </c>
      <c r="E151" s="50" t="s">
        <v>2647</v>
      </c>
      <c r="F151" s="58" t="s">
        <v>2647</v>
      </c>
      <c r="G151" s="51"/>
      <c r="H151" s="51"/>
      <c r="I151" s="50" t="s">
        <v>1840</v>
      </c>
      <c r="J151" s="58" t="s">
        <v>3128</v>
      </c>
      <c r="K151" s="52" t="s">
        <v>2949</v>
      </c>
      <c r="L151" s="59">
        <v>42933</v>
      </c>
      <c r="M151" s="60">
        <f>L151+240</f>
        <v>43173</v>
      </c>
      <c r="N151" s="51">
        <v>526228.91</v>
      </c>
      <c r="O151" s="59">
        <v>43137</v>
      </c>
      <c r="P151" s="59"/>
      <c r="Q151" s="51"/>
      <c r="R151" s="51">
        <f>N151+Q151</f>
        <v>526228.91</v>
      </c>
      <c r="S151" s="51"/>
      <c r="T151" s="52" t="s">
        <v>3327</v>
      </c>
      <c r="U151" s="51">
        <v>211037.4</v>
      </c>
      <c r="V151" s="51">
        <v>0</v>
      </c>
      <c r="W151" s="51">
        <v>0</v>
      </c>
      <c r="X151" s="51">
        <v>211037.4</v>
      </c>
      <c r="Y151" s="19" t="s">
        <v>186</v>
      </c>
      <c r="Z151" s="19"/>
      <c r="AA151" s="28" t="s">
        <v>7176</v>
      </c>
      <c r="AB151" s="56">
        <v>43395</v>
      </c>
      <c r="AC151" s="28" t="s">
        <v>7177</v>
      </c>
      <c r="AD151" s="28" t="s">
        <v>7181</v>
      </c>
      <c r="AE151" s="54" t="s">
        <v>7182</v>
      </c>
      <c r="AF151" s="54"/>
      <c r="AG151" s="54" t="s">
        <v>7183</v>
      </c>
      <c r="AH151" s="53" t="s">
        <v>1591</v>
      </c>
      <c r="AI151" s="53" t="s">
        <v>2686</v>
      </c>
      <c r="AJ151" s="53" t="s">
        <v>1591</v>
      </c>
    </row>
    <row r="152" spans="1:36" s="3" customFormat="1" ht="36" x14ac:dyDescent="0.25">
      <c r="A152" s="35" t="s">
        <v>2685</v>
      </c>
      <c r="B152" s="34" t="s">
        <v>2699</v>
      </c>
      <c r="C152" s="76"/>
      <c r="D152" s="43" t="s">
        <v>6130</v>
      </c>
      <c r="E152" s="78"/>
      <c r="F152" s="36"/>
      <c r="G152" s="80"/>
      <c r="H152" s="80"/>
      <c r="I152" s="36" t="s">
        <v>6131</v>
      </c>
      <c r="J152" s="34" t="s">
        <v>6132</v>
      </c>
      <c r="K152" s="37" t="s">
        <v>6133</v>
      </c>
      <c r="L152" s="38">
        <v>41568</v>
      </c>
      <c r="M152" s="39">
        <v>41688</v>
      </c>
      <c r="N152" s="42">
        <v>208997.26</v>
      </c>
      <c r="O152" s="85">
        <v>42298</v>
      </c>
      <c r="P152" s="86"/>
      <c r="Q152" s="41"/>
      <c r="R152" s="41">
        <v>208997.26</v>
      </c>
      <c r="S152" s="80"/>
      <c r="T152" s="81"/>
      <c r="U152" s="80"/>
      <c r="V152" s="80"/>
      <c r="W152" s="42"/>
      <c r="X152" s="42"/>
      <c r="Y152" s="34" t="s">
        <v>4321</v>
      </c>
      <c r="Z152" s="19" t="s">
        <v>7038</v>
      </c>
      <c r="AA152" s="28"/>
      <c r="AB152" s="56"/>
      <c r="AC152" s="28"/>
      <c r="AD152" s="28"/>
      <c r="AE152" s="54"/>
      <c r="AF152" s="54"/>
      <c r="AG152" s="54"/>
      <c r="AH152" s="53"/>
      <c r="AI152" s="53" t="s">
        <v>1591</v>
      </c>
      <c r="AJ152" s="53" t="s">
        <v>1591</v>
      </c>
    </row>
    <row r="153" spans="1:36" s="3" customFormat="1" ht="108" x14ac:dyDescent="0.25">
      <c r="A153" s="17" t="s">
        <v>182</v>
      </c>
      <c r="B153" s="18" t="s">
        <v>2391</v>
      </c>
      <c r="C153" s="19" t="s">
        <v>2392</v>
      </c>
      <c r="D153" s="45" t="s">
        <v>2393</v>
      </c>
      <c r="E153" s="50"/>
      <c r="F153" s="58"/>
      <c r="G153" s="51"/>
      <c r="H153" s="51"/>
      <c r="I153" s="50" t="s">
        <v>2394</v>
      </c>
      <c r="J153" s="58" t="s">
        <v>2395</v>
      </c>
      <c r="K153" s="52" t="s">
        <v>2271</v>
      </c>
      <c r="L153" s="59">
        <v>41502</v>
      </c>
      <c r="M153" s="60">
        <f>L153+240</f>
        <v>41742</v>
      </c>
      <c r="N153" s="51">
        <v>379460</v>
      </c>
      <c r="O153" s="59">
        <v>41845</v>
      </c>
      <c r="P153" s="59">
        <f>M153+120</f>
        <v>41862</v>
      </c>
      <c r="Q153" s="51"/>
      <c r="R153" s="51">
        <f>N153+Q153</f>
        <v>379460</v>
      </c>
      <c r="S153" s="51" t="s">
        <v>46</v>
      </c>
      <c r="T153" s="52" t="s">
        <v>52</v>
      </c>
      <c r="U153" s="51">
        <v>162213.43</v>
      </c>
      <c r="V153" s="51">
        <v>108607.26</v>
      </c>
      <c r="W153" s="51">
        <v>108607.26</v>
      </c>
      <c r="X153" s="51">
        <v>162213.43</v>
      </c>
      <c r="Y153" s="19" t="s">
        <v>498</v>
      </c>
      <c r="Z153" s="19"/>
      <c r="AA153" s="28" t="s">
        <v>8436</v>
      </c>
      <c r="AB153" s="56">
        <v>43416</v>
      </c>
      <c r="AC153" s="28" t="s">
        <v>7184</v>
      </c>
      <c r="AD153" s="28" t="s">
        <v>7185</v>
      </c>
      <c r="AE153" s="54" t="s">
        <v>7186</v>
      </c>
      <c r="AF153" s="54"/>
      <c r="AG153" s="54" t="s">
        <v>7187</v>
      </c>
      <c r="AH153" s="53" t="s">
        <v>1591</v>
      </c>
      <c r="AI153" s="53" t="s">
        <v>2686</v>
      </c>
      <c r="AJ153" s="53" t="s">
        <v>1591</v>
      </c>
    </row>
    <row r="154" spans="1:36" s="3" customFormat="1" ht="96" x14ac:dyDescent="0.25">
      <c r="A154" s="35" t="s">
        <v>2685</v>
      </c>
      <c r="B154" s="18" t="s">
        <v>2391</v>
      </c>
      <c r="C154" s="76"/>
      <c r="D154" s="43" t="s">
        <v>6134</v>
      </c>
      <c r="E154" s="78"/>
      <c r="F154" s="36"/>
      <c r="G154" s="80"/>
      <c r="H154" s="80"/>
      <c r="I154" s="36" t="s">
        <v>2390</v>
      </c>
      <c r="J154" s="34" t="s">
        <v>6135</v>
      </c>
      <c r="K154" s="37" t="s">
        <v>582</v>
      </c>
      <c r="L154" s="38">
        <v>41816</v>
      </c>
      <c r="M154" s="39">
        <v>42056</v>
      </c>
      <c r="N154" s="42">
        <v>265500</v>
      </c>
      <c r="O154" s="85">
        <v>42258</v>
      </c>
      <c r="P154" s="86">
        <v>42266</v>
      </c>
      <c r="Q154" s="41">
        <v>37174.03</v>
      </c>
      <c r="R154" s="41">
        <v>302674.03000000003</v>
      </c>
      <c r="S154" s="80"/>
      <c r="T154" s="81"/>
      <c r="U154" s="80"/>
      <c r="V154" s="80"/>
      <c r="W154" s="42"/>
      <c r="X154" s="42">
        <v>271453.78999999998</v>
      </c>
      <c r="Y154" s="34" t="s">
        <v>4321</v>
      </c>
      <c r="Z154" s="19" t="s">
        <v>7038</v>
      </c>
      <c r="AA154" s="28" t="s">
        <v>8436</v>
      </c>
      <c r="AB154" s="56">
        <v>43416</v>
      </c>
      <c r="AC154" s="28" t="s">
        <v>7184</v>
      </c>
      <c r="AD154" s="28" t="s">
        <v>7185</v>
      </c>
      <c r="AE154" s="54" t="s">
        <v>7188</v>
      </c>
      <c r="AF154" s="54"/>
      <c r="AG154" s="54" t="s">
        <v>7189</v>
      </c>
      <c r="AH154" s="53" t="s">
        <v>1591</v>
      </c>
      <c r="AI154" s="53" t="s">
        <v>2686</v>
      </c>
      <c r="AJ154" s="53" t="s">
        <v>1591</v>
      </c>
    </row>
    <row r="155" spans="1:36" s="3" customFormat="1" ht="96" x14ac:dyDescent="0.25">
      <c r="A155" s="17" t="s">
        <v>182</v>
      </c>
      <c r="B155" s="18" t="s">
        <v>2391</v>
      </c>
      <c r="C155" s="19" t="s">
        <v>2396</v>
      </c>
      <c r="D155" s="45" t="s">
        <v>2397</v>
      </c>
      <c r="E155" s="50"/>
      <c r="F155" s="58"/>
      <c r="G155" s="51"/>
      <c r="H155" s="51"/>
      <c r="I155" s="50" t="s">
        <v>2398</v>
      </c>
      <c r="J155" s="58" t="s">
        <v>2399</v>
      </c>
      <c r="K155" s="52" t="s">
        <v>1056</v>
      </c>
      <c r="L155" s="59">
        <v>41523</v>
      </c>
      <c r="M155" s="60">
        <f>L155+60</f>
        <v>41583</v>
      </c>
      <c r="N155" s="51">
        <v>36784.519999999997</v>
      </c>
      <c r="O155" s="59">
        <v>41643</v>
      </c>
      <c r="P155" s="59">
        <f>M155+60</f>
        <v>41643</v>
      </c>
      <c r="Q155" s="51"/>
      <c r="R155" s="51">
        <f>N155+Q155</f>
        <v>36784.519999999997</v>
      </c>
      <c r="S155" s="51" t="s">
        <v>46</v>
      </c>
      <c r="T155" s="52" t="s">
        <v>52</v>
      </c>
      <c r="U155" s="51">
        <v>27947.24</v>
      </c>
      <c r="V155" s="51">
        <v>0</v>
      </c>
      <c r="W155" s="51">
        <v>0</v>
      </c>
      <c r="X155" s="51">
        <v>27947.24</v>
      </c>
      <c r="Y155" s="19" t="s">
        <v>498</v>
      </c>
      <c r="Z155" s="19"/>
      <c r="AA155" s="28" t="s">
        <v>8436</v>
      </c>
      <c r="AB155" s="56">
        <v>43416</v>
      </c>
      <c r="AC155" s="28" t="s">
        <v>7184</v>
      </c>
      <c r="AD155" s="28" t="s">
        <v>7185</v>
      </c>
      <c r="AE155" s="54" t="s">
        <v>7190</v>
      </c>
      <c r="AF155" s="54"/>
      <c r="AG155" s="54" t="s">
        <v>7191</v>
      </c>
      <c r="AH155" s="53" t="s">
        <v>1591</v>
      </c>
      <c r="AI155" s="53" t="s">
        <v>2686</v>
      </c>
      <c r="AJ155" s="53" t="s">
        <v>1591</v>
      </c>
    </row>
    <row r="156" spans="1:36" s="3" customFormat="1" ht="36" x14ac:dyDescent="0.25">
      <c r="A156" s="17" t="s">
        <v>2685</v>
      </c>
      <c r="B156" s="18" t="s">
        <v>2700</v>
      </c>
      <c r="C156" s="19" t="s">
        <v>2409</v>
      </c>
      <c r="D156" s="45" t="s">
        <v>2410</v>
      </c>
      <c r="E156" s="50"/>
      <c r="F156" s="58"/>
      <c r="G156" s="51"/>
      <c r="H156" s="51"/>
      <c r="I156" s="50" t="s">
        <v>2411</v>
      </c>
      <c r="J156" s="58" t="s">
        <v>2412</v>
      </c>
      <c r="K156" s="52" t="s">
        <v>2413</v>
      </c>
      <c r="L156" s="59">
        <v>41897</v>
      </c>
      <c r="M156" s="60">
        <f>L156+120</f>
        <v>42017</v>
      </c>
      <c r="N156" s="51">
        <v>285980</v>
      </c>
      <c r="O156" s="59">
        <v>42004</v>
      </c>
      <c r="P156" s="59" t="s">
        <v>3298</v>
      </c>
      <c r="Q156" s="51">
        <v>0</v>
      </c>
      <c r="R156" s="51">
        <f>N156+Q156</f>
        <v>285980</v>
      </c>
      <c r="S156" s="51" t="s">
        <v>3298</v>
      </c>
      <c r="T156" s="52"/>
      <c r="U156" s="51" t="s">
        <v>3330</v>
      </c>
      <c r="V156" s="51">
        <v>0</v>
      </c>
      <c r="W156" s="51">
        <v>0</v>
      </c>
      <c r="X156" s="51">
        <v>160903.85</v>
      </c>
      <c r="Y156" s="19" t="s">
        <v>2404</v>
      </c>
      <c r="Z156" s="19"/>
      <c r="AA156" s="28" t="s">
        <v>8455</v>
      </c>
      <c r="AB156" s="56">
        <v>43392</v>
      </c>
      <c r="AC156" s="28" t="s">
        <v>7192</v>
      </c>
      <c r="AD156" s="28" t="s">
        <v>7193</v>
      </c>
      <c r="AE156" s="54" t="s">
        <v>7194</v>
      </c>
      <c r="AF156" s="54"/>
      <c r="AG156" s="54" t="s">
        <v>7195</v>
      </c>
      <c r="AH156" s="53" t="s">
        <v>1591</v>
      </c>
      <c r="AI156" s="53" t="s">
        <v>2686</v>
      </c>
      <c r="AJ156" s="53" t="s">
        <v>1591</v>
      </c>
    </row>
    <row r="157" spans="1:36" s="3" customFormat="1" ht="36" x14ac:dyDescent="0.25">
      <c r="A157" s="17" t="s">
        <v>2685</v>
      </c>
      <c r="B157" s="18" t="s">
        <v>2700</v>
      </c>
      <c r="C157" s="19" t="s">
        <v>2962</v>
      </c>
      <c r="D157" s="45" t="s">
        <v>2405</v>
      </c>
      <c r="E157" s="50"/>
      <c r="F157" s="58"/>
      <c r="G157" s="51"/>
      <c r="H157" s="51"/>
      <c r="I157" s="50" t="s">
        <v>2406</v>
      </c>
      <c r="J157" s="58" t="s">
        <v>2407</v>
      </c>
      <c r="K157" s="52" t="s">
        <v>2408</v>
      </c>
      <c r="L157" s="59">
        <v>41444</v>
      </c>
      <c r="M157" s="60">
        <f>L157+90</f>
        <v>41534</v>
      </c>
      <c r="N157" s="51">
        <v>246979.71</v>
      </c>
      <c r="O157" s="59" t="s">
        <v>3299</v>
      </c>
      <c r="P157" s="59" t="s">
        <v>3298</v>
      </c>
      <c r="Q157" s="51">
        <v>0</v>
      </c>
      <c r="R157" s="51">
        <f>N157+Q157</f>
        <v>246979.71</v>
      </c>
      <c r="S157" s="51" t="s">
        <v>3298</v>
      </c>
      <c r="T157" s="52"/>
      <c r="U157" s="51" t="s">
        <v>3329</v>
      </c>
      <c r="V157" s="51">
        <v>0</v>
      </c>
      <c r="W157" s="51">
        <v>0</v>
      </c>
      <c r="X157" s="51">
        <v>177450.4</v>
      </c>
      <c r="Y157" s="19" t="s">
        <v>2404</v>
      </c>
      <c r="Z157" s="19"/>
      <c r="AA157" s="28" t="s">
        <v>8455</v>
      </c>
      <c r="AB157" s="56">
        <v>43392</v>
      </c>
      <c r="AC157" s="28" t="s">
        <v>7192</v>
      </c>
      <c r="AD157" s="28" t="s">
        <v>7193</v>
      </c>
      <c r="AE157" s="54" t="s">
        <v>7194</v>
      </c>
      <c r="AF157" s="54"/>
      <c r="AG157" s="54" t="s">
        <v>7196</v>
      </c>
      <c r="AH157" s="53" t="s">
        <v>1591</v>
      </c>
      <c r="AI157" s="53" t="s">
        <v>2686</v>
      </c>
      <c r="AJ157" s="53" t="s">
        <v>1591</v>
      </c>
    </row>
    <row r="158" spans="1:36" s="3" customFormat="1" ht="36" x14ac:dyDescent="0.25">
      <c r="A158" s="17" t="s">
        <v>2685</v>
      </c>
      <c r="B158" s="18" t="s">
        <v>2700</v>
      </c>
      <c r="C158" s="19" t="s">
        <v>1975</v>
      </c>
      <c r="D158" s="45" t="s">
        <v>2400</v>
      </c>
      <c r="E158" s="50"/>
      <c r="F158" s="58"/>
      <c r="G158" s="51"/>
      <c r="H158" s="51"/>
      <c r="I158" s="50" t="s">
        <v>2401</v>
      </c>
      <c r="J158" s="58" t="s">
        <v>2402</v>
      </c>
      <c r="K158" s="52" t="s">
        <v>2403</v>
      </c>
      <c r="L158" s="59">
        <v>40835</v>
      </c>
      <c r="M158" s="60">
        <f>L158+30</f>
        <v>40865</v>
      </c>
      <c r="N158" s="51">
        <v>116984.95</v>
      </c>
      <c r="O158" s="59">
        <v>41506</v>
      </c>
      <c r="P158" s="59" t="s">
        <v>3298</v>
      </c>
      <c r="Q158" s="51">
        <v>0</v>
      </c>
      <c r="R158" s="51">
        <f>N158+Q158</f>
        <v>116984.95</v>
      </c>
      <c r="S158" s="51" t="s">
        <v>3298</v>
      </c>
      <c r="T158" s="52"/>
      <c r="U158" s="51" t="s">
        <v>3328</v>
      </c>
      <c r="V158" s="51">
        <v>0</v>
      </c>
      <c r="W158" s="51">
        <v>0</v>
      </c>
      <c r="X158" s="51">
        <v>51532.4</v>
      </c>
      <c r="Y158" s="19" t="s">
        <v>2404</v>
      </c>
      <c r="Z158" s="19"/>
      <c r="AA158" s="28" t="s">
        <v>8455</v>
      </c>
      <c r="AB158" s="56">
        <v>43392</v>
      </c>
      <c r="AC158" s="28" t="s">
        <v>7192</v>
      </c>
      <c r="AD158" s="28" t="s">
        <v>7193</v>
      </c>
      <c r="AE158" s="54" t="s">
        <v>7194</v>
      </c>
      <c r="AF158" s="54"/>
      <c r="AG158" s="54" t="s">
        <v>7197</v>
      </c>
      <c r="AH158" s="53" t="s">
        <v>1591</v>
      </c>
      <c r="AI158" s="53" t="s">
        <v>2686</v>
      </c>
      <c r="AJ158" s="53" t="s">
        <v>1591</v>
      </c>
    </row>
    <row r="159" spans="1:36" s="3" customFormat="1" ht="36" x14ac:dyDescent="0.25">
      <c r="A159" s="35" t="s">
        <v>182</v>
      </c>
      <c r="B159" s="18" t="s">
        <v>2651</v>
      </c>
      <c r="C159" s="76"/>
      <c r="D159" s="43" t="s">
        <v>6136</v>
      </c>
      <c r="E159" s="78"/>
      <c r="F159" s="36"/>
      <c r="G159" s="80"/>
      <c r="H159" s="80"/>
      <c r="I159" s="36" t="s">
        <v>2343</v>
      </c>
      <c r="J159" s="34" t="s">
        <v>6137</v>
      </c>
      <c r="K159" s="37" t="s">
        <v>5780</v>
      </c>
      <c r="L159" s="38">
        <v>40416</v>
      </c>
      <c r="M159" s="39">
        <v>40628</v>
      </c>
      <c r="N159" s="42">
        <v>24533546.84</v>
      </c>
      <c r="O159" s="85"/>
      <c r="P159" s="86">
        <v>41749</v>
      </c>
      <c r="Q159" s="41">
        <v>1324940.6000000015</v>
      </c>
      <c r="R159" s="41">
        <v>25858487.440000001</v>
      </c>
      <c r="S159" s="80"/>
      <c r="T159" s="81"/>
      <c r="U159" s="80"/>
      <c r="V159" s="80"/>
      <c r="W159" s="42"/>
      <c r="X159" s="42">
        <v>5960548.6500000004</v>
      </c>
      <c r="Y159" s="34" t="s">
        <v>4321</v>
      </c>
      <c r="Z159" s="19" t="s">
        <v>7038</v>
      </c>
      <c r="AA159" s="28"/>
      <c r="AB159" s="56"/>
      <c r="AC159" s="28"/>
      <c r="AD159" s="28"/>
      <c r="AE159" s="54"/>
      <c r="AF159" s="54"/>
      <c r="AG159" s="54"/>
      <c r="AH159" s="53"/>
      <c r="AI159" s="53" t="s">
        <v>1591</v>
      </c>
      <c r="AJ159" s="53" t="s">
        <v>1591</v>
      </c>
    </row>
    <row r="160" spans="1:36" s="3" customFormat="1" ht="84" x14ac:dyDescent="0.25">
      <c r="A160" s="17" t="s">
        <v>2685</v>
      </c>
      <c r="B160" s="18" t="s">
        <v>2651</v>
      </c>
      <c r="C160" s="19" t="s">
        <v>77</v>
      </c>
      <c r="D160" s="45" t="s">
        <v>2652</v>
      </c>
      <c r="E160" s="50" t="s">
        <v>2647</v>
      </c>
      <c r="F160" s="58" t="s">
        <v>2647</v>
      </c>
      <c r="G160" s="51"/>
      <c r="H160" s="51"/>
      <c r="I160" s="50" t="s">
        <v>2653</v>
      </c>
      <c r="J160" s="58" t="s">
        <v>2654</v>
      </c>
      <c r="K160" s="52" t="s">
        <v>3130</v>
      </c>
      <c r="L160" s="59">
        <v>41996</v>
      </c>
      <c r="M160" s="60">
        <f>L160+365</f>
        <v>42361</v>
      </c>
      <c r="N160" s="51">
        <v>1436790.72</v>
      </c>
      <c r="O160" s="59">
        <v>42361</v>
      </c>
      <c r="P160" s="59">
        <f>M160+1095</f>
        <v>43456</v>
      </c>
      <c r="Q160" s="51">
        <v>5256119.9400000004</v>
      </c>
      <c r="R160" s="51">
        <f t="shared" ref="R160:R169" si="3">N160+Q160</f>
        <v>6692910.6600000001</v>
      </c>
      <c r="S160" s="51" t="s">
        <v>3331</v>
      </c>
      <c r="T160" s="52" t="s">
        <v>2655</v>
      </c>
      <c r="U160" s="51">
        <v>4175042.66</v>
      </c>
      <c r="V160" s="51">
        <v>90379.44</v>
      </c>
      <c r="W160" s="51">
        <v>90379.44</v>
      </c>
      <c r="X160" s="51">
        <v>1504777.28</v>
      </c>
      <c r="Y160" s="19" t="s">
        <v>175</v>
      </c>
      <c r="Z160" s="19"/>
      <c r="AA160" s="28"/>
      <c r="AB160" s="56"/>
      <c r="AC160" s="28"/>
      <c r="AD160" s="28"/>
      <c r="AE160" s="54"/>
      <c r="AF160" s="54"/>
      <c r="AG160" s="54"/>
      <c r="AH160" s="53"/>
      <c r="AI160" s="53" t="s">
        <v>1591</v>
      </c>
      <c r="AJ160" s="53" t="s">
        <v>1591</v>
      </c>
    </row>
    <row r="161" spans="1:36" s="3" customFormat="1" ht="180" x14ac:dyDescent="0.25">
      <c r="A161" s="17" t="s">
        <v>182</v>
      </c>
      <c r="B161" s="18" t="s">
        <v>2414</v>
      </c>
      <c r="C161" s="19" t="s">
        <v>2415</v>
      </c>
      <c r="D161" s="45" t="s">
        <v>2416</v>
      </c>
      <c r="E161" s="50"/>
      <c r="F161" s="58"/>
      <c r="G161" s="51"/>
      <c r="H161" s="51"/>
      <c r="I161" s="50" t="s">
        <v>2417</v>
      </c>
      <c r="J161" s="58" t="s">
        <v>2418</v>
      </c>
      <c r="K161" s="52" t="s">
        <v>2419</v>
      </c>
      <c r="L161" s="59">
        <v>41690</v>
      </c>
      <c r="M161" s="60">
        <f>L161+240</f>
        <v>41930</v>
      </c>
      <c r="N161" s="51">
        <v>2097674.9300000002</v>
      </c>
      <c r="O161" s="59">
        <v>41931</v>
      </c>
      <c r="P161" s="59">
        <f>M161+31*30</f>
        <v>42860</v>
      </c>
      <c r="Q161" s="51">
        <v>377594.14</v>
      </c>
      <c r="R161" s="51">
        <f t="shared" si="3"/>
        <v>2475269.0700000003</v>
      </c>
      <c r="S161" s="51">
        <v>151643.18</v>
      </c>
      <c r="T161" s="52"/>
      <c r="U161" s="51"/>
      <c r="V161" s="51">
        <v>1769745</v>
      </c>
      <c r="W161" s="51">
        <v>292687.69</v>
      </c>
      <c r="X161" s="51">
        <v>292687.69</v>
      </c>
      <c r="Y161" s="19" t="s">
        <v>202</v>
      </c>
      <c r="Z161" s="19"/>
      <c r="AA161" s="28" t="s">
        <v>7198</v>
      </c>
      <c r="AB161" s="56">
        <v>43396</v>
      </c>
      <c r="AC161" s="28" t="s">
        <v>7199</v>
      </c>
      <c r="AD161" s="28" t="s">
        <v>7200</v>
      </c>
      <c r="AE161" s="54" t="s">
        <v>7201</v>
      </c>
      <c r="AF161" s="54"/>
      <c r="AG161" s="54" t="s">
        <v>7202</v>
      </c>
      <c r="AH161" s="53" t="s">
        <v>1591</v>
      </c>
      <c r="AI161" s="53" t="s">
        <v>2686</v>
      </c>
      <c r="AJ161" s="53" t="s">
        <v>1591</v>
      </c>
    </row>
    <row r="162" spans="1:36" s="3" customFormat="1" ht="180" x14ac:dyDescent="0.25">
      <c r="A162" s="17" t="s">
        <v>182</v>
      </c>
      <c r="B162" s="18" t="s">
        <v>2414</v>
      </c>
      <c r="C162" s="19" t="s">
        <v>2423</v>
      </c>
      <c r="D162" s="45" t="s">
        <v>2424</v>
      </c>
      <c r="E162" s="50"/>
      <c r="F162" s="58"/>
      <c r="G162" s="51"/>
      <c r="H162" s="51"/>
      <c r="I162" s="50" t="s">
        <v>2425</v>
      </c>
      <c r="J162" s="58" t="s">
        <v>2426</v>
      </c>
      <c r="K162" s="52" t="s">
        <v>1503</v>
      </c>
      <c r="L162" s="59">
        <v>42611</v>
      </c>
      <c r="M162" s="60">
        <f>L162+240</f>
        <v>42851</v>
      </c>
      <c r="N162" s="51">
        <v>1090000</v>
      </c>
      <c r="O162" s="59">
        <v>42850</v>
      </c>
      <c r="P162" s="59">
        <f>M162+9*30</f>
        <v>43121</v>
      </c>
      <c r="Q162" s="51"/>
      <c r="R162" s="51">
        <f t="shared" si="3"/>
        <v>1090000</v>
      </c>
      <c r="S162" s="51"/>
      <c r="T162" s="52"/>
      <c r="U162" s="51"/>
      <c r="V162" s="51">
        <v>391409.69</v>
      </c>
      <c r="W162" s="51"/>
      <c r="X162" s="51">
        <v>391409.69</v>
      </c>
      <c r="Y162" s="19" t="s">
        <v>202</v>
      </c>
      <c r="Z162" s="19"/>
      <c r="AA162" s="28" t="s">
        <v>7198</v>
      </c>
      <c r="AB162" s="56">
        <v>43396</v>
      </c>
      <c r="AC162" s="28" t="s">
        <v>7199</v>
      </c>
      <c r="AD162" s="28" t="s">
        <v>7200</v>
      </c>
      <c r="AE162" s="54" t="s">
        <v>7203</v>
      </c>
      <c r="AF162" s="54"/>
      <c r="AG162" s="54" t="s">
        <v>7202</v>
      </c>
      <c r="AH162" s="53" t="s">
        <v>1591</v>
      </c>
      <c r="AI162" s="53" t="s">
        <v>2686</v>
      </c>
      <c r="AJ162" s="53" t="s">
        <v>1591</v>
      </c>
    </row>
    <row r="163" spans="1:36" s="3" customFormat="1" ht="180" x14ac:dyDescent="0.25">
      <c r="A163" s="17" t="s">
        <v>182</v>
      </c>
      <c r="B163" s="18" t="s">
        <v>2414</v>
      </c>
      <c r="C163" s="19" t="s">
        <v>688</v>
      </c>
      <c r="D163" s="45" t="s">
        <v>2420</v>
      </c>
      <c r="E163" s="50"/>
      <c r="F163" s="58"/>
      <c r="G163" s="51"/>
      <c r="H163" s="51"/>
      <c r="I163" s="50" t="s">
        <v>2421</v>
      </c>
      <c r="J163" s="58" t="s">
        <v>2418</v>
      </c>
      <c r="K163" s="52" t="s">
        <v>2422</v>
      </c>
      <c r="L163" s="59">
        <v>41782</v>
      </c>
      <c r="M163" s="60">
        <f>L163+180</f>
        <v>41962</v>
      </c>
      <c r="N163" s="51">
        <v>769710.48</v>
      </c>
      <c r="O163" s="59">
        <v>41965</v>
      </c>
      <c r="P163" s="59">
        <f>M163+33*30</f>
        <v>42952</v>
      </c>
      <c r="Q163" s="51">
        <v>131976.09</v>
      </c>
      <c r="R163" s="51">
        <f t="shared" si="3"/>
        <v>901686.57</v>
      </c>
      <c r="S163" s="51"/>
      <c r="T163" s="52"/>
      <c r="U163" s="51"/>
      <c r="V163" s="51">
        <v>476721.03</v>
      </c>
      <c r="W163" s="51"/>
      <c r="X163" s="51"/>
      <c r="Y163" s="19" t="s">
        <v>202</v>
      </c>
      <c r="Z163" s="19"/>
      <c r="AA163" s="28" t="s">
        <v>7198</v>
      </c>
      <c r="AB163" s="56">
        <v>43396</v>
      </c>
      <c r="AC163" s="28" t="s">
        <v>7199</v>
      </c>
      <c r="AD163" s="28" t="s">
        <v>7200</v>
      </c>
      <c r="AE163" s="54" t="s">
        <v>7204</v>
      </c>
      <c r="AF163" s="54"/>
      <c r="AG163" s="54" t="s">
        <v>7202</v>
      </c>
      <c r="AH163" s="53" t="s">
        <v>1591</v>
      </c>
      <c r="AI163" s="53" t="s">
        <v>2686</v>
      </c>
      <c r="AJ163" s="53" t="s">
        <v>1591</v>
      </c>
    </row>
    <row r="164" spans="1:36" s="3" customFormat="1" ht="180" x14ac:dyDescent="0.25">
      <c r="A164" s="17" t="s">
        <v>182</v>
      </c>
      <c r="B164" s="18" t="s">
        <v>2414</v>
      </c>
      <c r="C164" s="19" t="s">
        <v>2970</v>
      </c>
      <c r="D164" s="45" t="s">
        <v>2971</v>
      </c>
      <c r="E164" s="50"/>
      <c r="F164" s="58"/>
      <c r="G164" s="51"/>
      <c r="H164" s="51"/>
      <c r="I164" s="50" t="s">
        <v>3143</v>
      </c>
      <c r="J164" s="58" t="s">
        <v>3144</v>
      </c>
      <c r="K164" s="52" t="s">
        <v>3145</v>
      </c>
      <c r="L164" s="59"/>
      <c r="M164" s="60" t="s">
        <v>2447</v>
      </c>
      <c r="N164" s="51">
        <v>729768</v>
      </c>
      <c r="O164" s="59">
        <v>43179</v>
      </c>
      <c r="P164" s="59"/>
      <c r="Q164" s="51"/>
      <c r="R164" s="51">
        <f t="shared" si="3"/>
        <v>729768</v>
      </c>
      <c r="S164" s="51"/>
      <c r="T164" s="52"/>
      <c r="U164" s="51"/>
      <c r="V164" s="51">
        <v>347346</v>
      </c>
      <c r="W164" s="51"/>
      <c r="X164" s="51">
        <v>347346</v>
      </c>
      <c r="Y164" s="19" t="s">
        <v>186</v>
      </c>
      <c r="Z164" s="19"/>
      <c r="AA164" s="28" t="s">
        <v>7198</v>
      </c>
      <c r="AB164" s="56">
        <v>43396</v>
      </c>
      <c r="AC164" s="28" t="s">
        <v>7199</v>
      </c>
      <c r="AD164" s="28" t="s">
        <v>7200</v>
      </c>
      <c r="AE164" s="54" t="s">
        <v>7204</v>
      </c>
      <c r="AF164" s="54"/>
      <c r="AG164" s="54" t="s">
        <v>7202</v>
      </c>
      <c r="AH164" s="53" t="s">
        <v>1591</v>
      </c>
      <c r="AI164" s="53" t="s">
        <v>2686</v>
      </c>
      <c r="AJ164" s="53" t="s">
        <v>1591</v>
      </c>
    </row>
    <row r="165" spans="1:36" s="3" customFormat="1" ht="180" x14ac:dyDescent="0.25">
      <c r="A165" s="17" t="s">
        <v>182</v>
      </c>
      <c r="B165" s="18" t="s">
        <v>2427</v>
      </c>
      <c r="C165" s="19" t="s">
        <v>2972</v>
      </c>
      <c r="D165" s="45" t="s">
        <v>2428</v>
      </c>
      <c r="E165" s="50" t="s">
        <v>594</v>
      </c>
      <c r="F165" s="58" t="s">
        <v>3146</v>
      </c>
      <c r="G165" s="51">
        <v>60650624.899999999</v>
      </c>
      <c r="H165" s="51">
        <v>505421.87</v>
      </c>
      <c r="I165" s="50" t="s">
        <v>2702</v>
      </c>
      <c r="J165" s="58" t="s">
        <v>3152</v>
      </c>
      <c r="K165" s="52" t="s">
        <v>833</v>
      </c>
      <c r="L165" s="59">
        <v>42153</v>
      </c>
      <c r="M165" s="60"/>
      <c r="N165" s="51">
        <v>15919255</v>
      </c>
      <c r="O165" s="59">
        <v>42369</v>
      </c>
      <c r="P165" s="59" t="s">
        <v>3301</v>
      </c>
      <c r="Q165" s="51">
        <v>1264857.17</v>
      </c>
      <c r="R165" s="51">
        <f t="shared" si="3"/>
        <v>17184112.170000002</v>
      </c>
      <c r="S165" s="72"/>
      <c r="T165" s="52"/>
      <c r="U165" s="51"/>
      <c r="V165" s="51"/>
      <c r="W165" s="51"/>
      <c r="X165" s="51">
        <v>14153664.9</v>
      </c>
      <c r="Y165" s="19" t="s">
        <v>2430</v>
      </c>
      <c r="Z165" s="19"/>
      <c r="AA165" s="28" t="s">
        <v>7205</v>
      </c>
      <c r="AB165" s="56">
        <v>43392</v>
      </c>
      <c r="AC165" s="28" t="s">
        <v>7206</v>
      </c>
      <c r="AD165" s="28" t="s">
        <v>7207</v>
      </c>
      <c r="AE165" s="54" t="s">
        <v>7208</v>
      </c>
      <c r="AF165" s="54"/>
      <c r="AG165" s="54" t="s">
        <v>7202</v>
      </c>
      <c r="AH165" s="53" t="s">
        <v>1591</v>
      </c>
      <c r="AI165" s="53" t="s">
        <v>2686</v>
      </c>
      <c r="AJ165" s="53" t="s">
        <v>1591</v>
      </c>
    </row>
    <row r="166" spans="1:36" s="3" customFormat="1" ht="408" x14ac:dyDescent="0.25">
      <c r="A166" s="17" t="s">
        <v>182</v>
      </c>
      <c r="B166" s="18" t="s">
        <v>2427</v>
      </c>
      <c r="C166" s="19" t="s">
        <v>2972</v>
      </c>
      <c r="D166" s="45" t="s">
        <v>2428</v>
      </c>
      <c r="E166" s="50" t="s">
        <v>594</v>
      </c>
      <c r="F166" s="58" t="s">
        <v>3146</v>
      </c>
      <c r="G166" s="51">
        <v>60650624.899999999</v>
      </c>
      <c r="H166" s="51">
        <v>505421.87</v>
      </c>
      <c r="I166" s="50" t="s">
        <v>2703</v>
      </c>
      <c r="J166" s="58" t="s">
        <v>2429</v>
      </c>
      <c r="K166" s="52" t="s">
        <v>323</v>
      </c>
      <c r="L166" s="59">
        <v>42153</v>
      </c>
      <c r="M166" s="60"/>
      <c r="N166" s="51">
        <v>14541515.84</v>
      </c>
      <c r="O166" s="59">
        <v>42369</v>
      </c>
      <c r="P166" s="59" t="s">
        <v>3301</v>
      </c>
      <c r="Q166" s="51">
        <v>1273540.3999999999</v>
      </c>
      <c r="R166" s="51">
        <f t="shared" si="3"/>
        <v>15815056.24</v>
      </c>
      <c r="S166" s="72"/>
      <c r="T166" s="52"/>
      <c r="U166" s="51"/>
      <c r="V166" s="51"/>
      <c r="W166" s="51"/>
      <c r="X166" s="51">
        <v>11682417.640000001</v>
      </c>
      <c r="Y166" s="19" t="s">
        <v>2430</v>
      </c>
      <c r="Z166" s="19"/>
      <c r="AA166" s="28" t="s">
        <v>7205</v>
      </c>
      <c r="AB166" s="56">
        <v>43392</v>
      </c>
      <c r="AC166" s="28" t="s">
        <v>7206</v>
      </c>
      <c r="AD166" s="28" t="s">
        <v>7209</v>
      </c>
      <c r="AE166" s="54" t="s">
        <v>7210</v>
      </c>
      <c r="AF166" s="54"/>
      <c r="AG166" s="54" t="s">
        <v>7211</v>
      </c>
      <c r="AH166" s="53" t="s">
        <v>1591</v>
      </c>
      <c r="AI166" s="53" t="s">
        <v>2686</v>
      </c>
      <c r="AJ166" s="53" t="s">
        <v>1591</v>
      </c>
    </row>
    <row r="167" spans="1:36" s="3" customFormat="1" ht="408" x14ac:dyDescent="0.25">
      <c r="A167" s="17" t="s">
        <v>182</v>
      </c>
      <c r="B167" s="18" t="s">
        <v>2427</v>
      </c>
      <c r="C167" s="19" t="s">
        <v>2972</v>
      </c>
      <c r="D167" s="45" t="s">
        <v>2428</v>
      </c>
      <c r="E167" s="50" t="s">
        <v>594</v>
      </c>
      <c r="F167" s="58" t="s">
        <v>3146</v>
      </c>
      <c r="G167" s="51">
        <v>60650624.899999999</v>
      </c>
      <c r="H167" s="51">
        <v>505421.87</v>
      </c>
      <c r="I167" s="50" t="s">
        <v>3149</v>
      </c>
      <c r="J167" s="58" t="s">
        <v>3150</v>
      </c>
      <c r="K167" s="52" t="s">
        <v>62</v>
      </c>
      <c r="L167" s="59">
        <v>41968</v>
      </c>
      <c r="M167" s="60"/>
      <c r="N167" s="51">
        <v>16208696</v>
      </c>
      <c r="O167" s="59">
        <v>42004</v>
      </c>
      <c r="P167" s="59" t="s">
        <v>3301</v>
      </c>
      <c r="Q167" s="51">
        <v>-4034807.54</v>
      </c>
      <c r="R167" s="51">
        <f t="shared" si="3"/>
        <v>12173888.460000001</v>
      </c>
      <c r="S167" s="72"/>
      <c r="T167" s="52"/>
      <c r="U167" s="51"/>
      <c r="V167" s="51"/>
      <c r="W167" s="51"/>
      <c r="X167" s="51">
        <v>10426226.9</v>
      </c>
      <c r="Y167" s="19" t="s">
        <v>2430</v>
      </c>
      <c r="Z167" s="19"/>
      <c r="AA167" s="28" t="s">
        <v>7205</v>
      </c>
      <c r="AB167" s="56">
        <v>43392</v>
      </c>
      <c r="AC167" s="28" t="s">
        <v>7206</v>
      </c>
      <c r="AD167" s="28" t="s">
        <v>7212</v>
      </c>
      <c r="AE167" s="54" t="s">
        <v>7213</v>
      </c>
      <c r="AF167" s="54"/>
      <c r="AG167" s="54" t="s">
        <v>7211</v>
      </c>
      <c r="AH167" s="53" t="s">
        <v>1591</v>
      </c>
      <c r="AI167" s="53" t="s">
        <v>2686</v>
      </c>
      <c r="AJ167" s="53" t="s">
        <v>1591</v>
      </c>
    </row>
    <row r="168" spans="1:36" s="3" customFormat="1" ht="408" x14ac:dyDescent="0.25">
      <c r="A168" s="17" t="s">
        <v>182</v>
      </c>
      <c r="B168" s="18" t="s">
        <v>2427</v>
      </c>
      <c r="C168" s="19" t="s">
        <v>2972</v>
      </c>
      <c r="D168" s="45" t="s">
        <v>2428</v>
      </c>
      <c r="E168" s="50" t="s">
        <v>594</v>
      </c>
      <c r="F168" s="58" t="s">
        <v>3146</v>
      </c>
      <c r="G168" s="51">
        <v>60650624.899999999</v>
      </c>
      <c r="H168" s="51">
        <v>505421.87</v>
      </c>
      <c r="I168" s="50" t="s">
        <v>2704</v>
      </c>
      <c r="J168" s="58" t="s">
        <v>3151</v>
      </c>
      <c r="K168" s="52" t="s">
        <v>1397</v>
      </c>
      <c r="L168" s="59">
        <v>41968</v>
      </c>
      <c r="M168" s="60"/>
      <c r="N168" s="51">
        <v>13024845</v>
      </c>
      <c r="O168" s="59">
        <v>42004</v>
      </c>
      <c r="P168" s="59" t="s">
        <v>3301</v>
      </c>
      <c r="Q168" s="51">
        <v>-3256211.25</v>
      </c>
      <c r="R168" s="51">
        <f t="shared" si="3"/>
        <v>9768633.75</v>
      </c>
      <c r="S168" s="72"/>
      <c r="T168" s="52"/>
      <c r="U168" s="51"/>
      <c r="V168" s="51"/>
      <c r="W168" s="51"/>
      <c r="X168" s="51">
        <v>8036315.8700000001</v>
      </c>
      <c r="Y168" s="19" t="s">
        <v>2430</v>
      </c>
      <c r="Z168" s="19"/>
      <c r="AA168" s="28" t="s">
        <v>7205</v>
      </c>
      <c r="AB168" s="56">
        <v>43392</v>
      </c>
      <c r="AC168" s="28" t="s">
        <v>7206</v>
      </c>
      <c r="AD168" s="28" t="s">
        <v>7214</v>
      </c>
      <c r="AE168" s="54" t="s">
        <v>7215</v>
      </c>
      <c r="AF168" s="54"/>
      <c r="AG168" s="54" t="s">
        <v>7211</v>
      </c>
      <c r="AH168" s="53" t="s">
        <v>1591</v>
      </c>
      <c r="AI168" s="53" t="s">
        <v>2686</v>
      </c>
      <c r="AJ168" s="53" t="s">
        <v>1591</v>
      </c>
    </row>
    <row r="169" spans="1:36" s="3" customFormat="1" ht="408" x14ac:dyDescent="0.25">
      <c r="A169" s="17" t="s">
        <v>182</v>
      </c>
      <c r="B169" s="18" t="s">
        <v>2427</v>
      </c>
      <c r="C169" s="19" t="s">
        <v>2972</v>
      </c>
      <c r="D169" s="45" t="s">
        <v>2428</v>
      </c>
      <c r="E169" s="50" t="s">
        <v>594</v>
      </c>
      <c r="F169" s="58" t="s">
        <v>3146</v>
      </c>
      <c r="G169" s="51">
        <v>60650624.899999999</v>
      </c>
      <c r="H169" s="51">
        <v>505421.87</v>
      </c>
      <c r="I169" s="50" t="s">
        <v>3147</v>
      </c>
      <c r="J169" s="58" t="s">
        <v>3148</v>
      </c>
      <c r="K169" s="52" t="s">
        <v>887</v>
      </c>
      <c r="L169" s="59">
        <v>41968</v>
      </c>
      <c r="M169" s="60"/>
      <c r="N169" s="51">
        <v>6078261</v>
      </c>
      <c r="O169" s="59">
        <v>42004</v>
      </c>
      <c r="P169" s="59" t="s">
        <v>3301</v>
      </c>
      <c r="Q169" s="51">
        <f>7597826.25-N169</f>
        <v>1519565.25</v>
      </c>
      <c r="R169" s="51">
        <f t="shared" si="3"/>
        <v>7597826.25</v>
      </c>
      <c r="S169" s="72"/>
      <c r="T169" s="52"/>
      <c r="U169" s="51"/>
      <c r="V169" s="51"/>
      <c r="W169" s="51"/>
      <c r="X169" s="51">
        <v>5775788.8600000003</v>
      </c>
      <c r="Y169" s="19" t="s">
        <v>2430</v>
      </c>
      <c r="Z169" s="19"/>
      <c r="AA169" s="28" t="s">
        <v>7205</v>
      </c>
      <c r="AB169" s="56">
        <v>43392</v>
      </c>
      <c r="AC169" s="28" t="s">
        <v>7206</v>
      </c>
      <c r="AD169" s="28" t="s">
        <v>7216</v>
      </c>
      <c r="AE169" s="54" t="s">
        <v>7217</v>
      </c>
      <c r="AF169" s="54"/>
      <c r="AG169" s="54" t="s">
        <v>7211</v>
      </c>
      <c r="AH169" s="53" t="s">
        <v>1591</v>
      </c>
      <c r="AI169" s="53" t="s">
        <v>2686</v>
      </c>
      <c r="AJ169" s="53" t="s">
        <v>1591</v>
      </c>
    </row>
    <row r="170" spans="1:36" s="3" customFormat="1" ht="192" x14ac:dyDescent="0.25">
      <c r="A170" s="17" t="s">
        <v>182</v>
      </c>
      <c r="B170" s="18" t="s">
        <v>2444</v>
      </c>
      <c r="C170" s="76" t="s">
        <v>6141</v>
      </c>
      <c r="D170" s="45" t="s">
        <v>6142</v>
      </c>
      <c r="E170" s="78"/>
      <c r="F170" s="79"/>
      <c r="G170" s="80"/>
      <c r="H170" s="80"/>
      <c r="I170" s="78" t="s">
        <v>2443</v>
      </c>
      <c r="J170" s="79" t="s">
        <v>6140</v>
      </c>
      <c r="K170" s="81" t="s">
        <v>6143</v>
      </c>
      <c r="L170" s="82">
        <v>41897</v>
      </c>
      <c r="M170" s="83">
        <v>42257</v>
      </c>
      <c r="N170" s="80">
        <v>12176842.24</v>
      </c>
      <c r="O170" s="82" t="s">
        <v>6144</v>
      </c>
      <c r="P170" s="84" t="s">
        <v>6145</v>
      </c>
      <c r="Q170" s="80">
        <v>1572048.5</v>
      </c>
      <c r="R170" s="80">
        <v>13748890.74</v>
      </c>
      <c r="S170" s="80">
        <v>140029.12</v>
      </c>
      <c r="T170" s="81" t="s">
        <v>52</v>
      </c>
      <c r="U170" s="80">
        <v>2160005.42</v>
      </c>
      <c r="V170" s="80"/>
      <c r="W170" s="80"/>
      <c r="X170" s="80">
        <v>5487072.5899999999</v>
      </c>
      <c r="Y170" s="76" t="s">
        <v>2432</v>
      </c>
      <c r="Z170" s="19" t="s">
        <v>7038</v>
      </c>
      <c r="AA170" s="28" t="s">
        <v>7218</v>
      </c>
      <c r="AB170" s="56">
        <v>43397</v>
      </c>
      <c r="AC170" s="28" t="s">
        <v>7219</v>
      </c>
      <c r="AD170" s="28" t="s">
        <v>7220</v>
      </c>
      <c r="AE170" s="54" t="s">
        <v>7221</v>
      </c>
      <c r="AF170" s="54"/>
      <c r="AG170" s="54" t="s">
        <v>7222</v>
      </c>
      <c r="AH170" s="53" t="s">
        <v>1591</v>
      </c>
      <c r="AI170" s="53" t="s">
        <v>2686</v>
      </c>
      <c r="AJ170" s="53" t="s">
        <v>1591</v>
      </c>
    </row>
    <row r="171" spans="1:36" s="3" customFormat="1" ht="144" x14ac:dyDescent="0.25">
      <c r="A171" s="17" t="s">
        <v>182</v>
      </c>
      <c r="B171" s="18" t="s">
        <v>2446</v>
      </c>
      <c r="C171" s="76" t="s">
        <v>6148</v>
      </c>
      <c r="D171" s="45" t="s">
        <v>6149</v>
      </c>
      <c r="E171" s="78" t="s">
        <v>803</v>
      </c>
      <c r="F171" s="79" t="s">
        <v>6146</v>
      </c>
      <c r="G171" s="80">
        <v>6458.6</v>
      </c>
      <c r="H171" s="80">
        <v>51749.04</v>
      </c>
      <c r="I171" s="78" t="s">
        <v>6150</v>
      </c>
      <c r="J171" s="79" t="s">
        <v>6151</v>
      </c>
      <c r="K171" s="81" t="s">
        <v>1569</v>
      </c>
      <c r="L171" s="82">
        <v>42342</v>
      </c>
      <c r="M171" s="83">
        <v>42432</v>
      </c>
      <c r="N171" s="80">
        <v>55000</v>
      </c>
      <c r="O171" s="82">
        <v>42446</v>
      </c>
      <c r="P171" s="84" t="s">
        <v>6129</v>
      </c>
      <c r="Q171" s="80">
        <v>0</v>
      </c>
      <c r="R171" s="80">
        <v>55000</v>
      </c>
      <c r="S171" s="80"/>
      <c r="T171" s="81" t="s">
        <v>6147</v>
      </c>
      <c r="U171" s="80"/>
      <c r="V171" s="80"/>
      <c r="W171" s="80"/>
      <c r="X171" s="80">
        <v>32719.83</v>
      </c>
      <c r="Y171" s="76" t="s">
        <v>6152</v>
      </c>
      <c r="Z171" s="19" t="s">
        <v>7038</v>
      </c>
      <c r="AA171" s="28" t="s">
        <v>8511</v>
      </c>
      <c r="AB171" s="56">
        <v>43409</v>
      </c>
      <c r="AC171" s="28" t="s">
        <v>7223</v>
      </c>
      <c r="AD171" s="28" t="s">
        <v>7224</v>
      </c>
      <c r="AE171" s="54" t="s">
        <v>7225</v>
      </c>
      <c r="AF171" s="54"/>
      <c r="AG171" s="54" t="s">
        <v>7226</v>
      </c>
      <c r="AH171" s="53" t="s">
        <v>1591</v>
      </c>
      <c r="AI171" s="53" t="s">
        <v>2686</v>
      </c>
      <c r="AJ171" s="53" t="s">
        <v>1591</v>
      </c>
    </row>
    <row r="172" spans="1:36" s="3" customFormat="1" ht="144" x14ac:dyDescent="0.25">
      <c r="A172" s="17" t="s">
        <v>182</v>
      </c>
      <c r="B172" s="18" t="s">
        <v>2300</v>
      </c>
      <c r="C172" s="76" t="s">
        <v>6153</v>
      </c>
      <c r="D172" s="45" t="s">
        <v>6154</v>
      </c>
      <c r="E172" s="78" t="s">
        <v>6155</v>
      </c>
      <c r="F172" s="79" t="s">
        <v>495</v>
      </c>
      <c r="G172" s="80">
        <v>329403.53000000003</v>
      </c>
      <c r="H172" s="80" t="s">
        <v>6156</v>
      </c>
      <c r="I172" s="78" t="s">
        <v>228</v>
      </c>
      <c r="J172" s="79" t="s">
        <v>6157</v>
      </c>
      <c r="K172" s="81" t="s">
        <v>496</v>
      </c>
      <c r="L172" s="82">
        <v>41360</v>
      </c>
      <c r="M172" s="83">
        <v>41540</v>
      </c>
      <c r="N172" s="80">
        <v>765624.09</v>
      </c>
      <c r="O172" s="82" t="s">
        <v>6158</v>
      </c>
      <c r="P172" s="84">
        <v>41540</v>
      </c>
      <c r="Q172" s="80">
        <v>41540</v>
      </c>
      <c r="R172" s="80">
        <v>807164.09</v>
      </c>
      <c r="S172" s="80"/>
      <c r="T172" s="81">
        <v>449051</v>
      </c>
      <c r="U172" s="80">
        <v>27545.279999999999</v>
      </c>
      <c r="V172" s="80"/>
      <c r="W172" s="80"/>
      <c r="X172" s="80">
        <v>27545.279999999999</v>
      </c>
      <c r="Y172" s="76" t="s">
        <v>6159</v>
      </c>
      <c r="Z172" s="19" t="s">
        <v>7038</v>
      </c>
      <c r="AA172" s="28" t="s">
        <v>8512</v>
      </c>
      <c r="AB172" s="56">
        <v>43403</v>
      </c>
      <c r="AC172" s="28" t="s">
        <v>7227</v>
      </c>
      <c r="AD172" s="28" t="s">
        <v>7228</v>
      </c>
      <c r="AE172" s="54" t="s">
        <v>7229</v>
      </c>
      <c r="AF172" s="54"/>
      <c r="AG172" s="54" t="s">
        <v>7230</v>
      </c>
      <c r="AH172" s="53" t="s">
        <v>1591</v>
      </c>
      <c r="AI172" s="53" t="s">
        <v>2686</v>
      </c>
      <c r="AJ172" s="53" t="s">
        <v>1591</v>
      </c>
    </row>
    <row r="173" spans="1:36" s="3" customFormat="1" ht="60" x14ac:dyDescent="0.25">
      <c r="A173" s="17" t="s">
        <v>182</v>
      </c>
      <c r="B173" s="18" t="s">
        <v>1560</v>
      </c>
      <c r="C173" s="76" t="s">
        <v>6160</v>
      </c>
      <c r="D173" s="45" t="s">
        <v>6161</v>
      </c>
      <c r="E173" s="78" t="s">
        <v>6162</v>
      </c>
      <c r="F173" s="79" t="s">
        <v>2515</v>
      </c>
      <c r="G173" s="80">
        <v>182000000</v>
      </c>
      <c r="H173" s="80">
        <v>41666419.829999998</v>
      </c>
      <c r="I173" s="78" t="s">
        <v>6163</v>
      </c>
      <c r="J173" s="79" t="s">
        <v>6164</v>
      </c>
      <c r="K173" s="81" t="s">
        <v>1925</v>
      </c>
      <c r="L173" s="82">
        <v>41598</v>
      </c>
      <c r="M173" s="83">
        <v>42318</v>
      </c>
      <c r="N173" s="80">
        <v>216896856.5</v>
      </c>
      <c r="O173" s="82" t="s">
        <v>6165</v>
      </c>
      <c r="P173" s="84" t="s">
        <v>46</v>
      </c>
      <c r="Q173" s="80">
        <v>9362919.3100000024</v>
      </c>
      <c r="R173" s="80">
        <v>226259775.81</v>
      </c>
      <c r="S173" s="80"/>
      <c r="T173" s="81" t="s">
        <v>6166</v>
      </c>
      <c r="U173" s="80"/>
      <c r="V173" s="80"/>
      <c r="W173" s="80"/>
      <c r="X173" s="80"/>
      <c r="Y173" s="76" t="s">
        <v>2273</v>
      </c>
      <c r="Z173" s="19" t="s">
        <v>7038</v>
      </c>
      <c r="AA173" s="28" t="s">
        <v>8471</v>
      </c>
      <c r="AB173" s="56">
        <v>43403</v>
      </c>
      <c r="AC173" s="28" t="s">
        <v>7231</v>
      </c>
      <c r="AD173" s="28" t="s">
        <v>7232</v>
      </c>
      <c r="AE173" s="54" t="s">
        <v>8321</v>
      </c>
      <c r="AF173" s="54"/>
      <c r="AG173" s="54" t="s">
        <v>7233</v>
      </c>
      <c r="AH173" s="53" t="s">
        <v>1591</v>
      </c>
      <c r="AI173" s="53" t="s">
        <v>2686</v>
      </c>
      <c r="AJ173" s="53" t="s">
        <v>1591</v>
      </c>
    </row>
    <row r="174" spans="1:36" s="3" customFormat="1" ht="60" x14ac:dyDescent="0.25">
      <c r="A174" s="17" t="s">
        <v>182</v>
      </c>
      <c r="B174" s="18" t="s">
        <v>1560</v>
      </c>
      <c r="C174" s="19" t="s">
        <v>2504</v>
      </c>
      <c r="D174" s="45" t="s">
        <v>2505</v>
      </c>
      <c r="E174" s="50" t="s">
        <v>2506</v>
      </c>
      <c r="F174" s="58" t="s">
        <v>1471</v>
      </c>
      <c r="G174" s="51">
        <v>162000000</v>
      </c>
      <c r="H174" s="51">
        <v>18890000</v>
      </c>
      <c r="I174" s="50" t="s">
        <v>2507</v>
      </c>
      <c r="J174" s="58" t="s">
        <v>2508</v>
      </c>
      <c r="K174" s="52" t="s">
        <v>2509</v>
      </c>
      <c r="L174" s="59">
        <v>40878</v>
      </c>
      <c r="M174" s="60">
        <f>L174+540</f>
        <v>41418</v>
      </c>
      <c r="N174" s="51">
        <v>151113293.56</v>
      </c>
      <c r="O174" s="59" t="s">
        <v>46</v>
      </c>
      <c r="P174" s="59">
        <v>43465</v>
      </c>
      <c r="Q174" s="51">
        <v>35491780.159999996</v>
      </c>
      <c r="R174" s="51">
        <f>N174+Q174</f>
        <v>186605073.72</v>
      </c>
      <c r="S174" s="51"/>
      <c r="T174" s="52" t="s">
        <v>4253</v>
      </c>
      <c r="U174" s="51"/>
      <c r="V174" s="51">
        <v>1309466.18</v>
      </c>
      <c r="W174" s="51">
        <v>1309466.18</v>
      </c>
      <c r="X174" s="51"/>
      <c r="Y174" s="19" t="s">
        <v>186</v>
      </c>
      <c r="Z174" s="19"/>
      <c r="AA174" s="28" t="s">
        <v>8471</v>
      </c>
      <c r="AB174" s="56">
        <v>43403</v>
      </c>
      <c r="AC174" s="28" t="s">
        <v>7231</v>
      </c>
      <c r="AD174" s="28" t="s">
        <v>7232</v>
      </c>
      <c r="AE174" s="54" t="s">
        <v>7234</v>
      </c>
      <c r="AF174" s="54"/>
      <c r="AG174" s="54" t="s">
        <v>7235</v>
      </c>
      <c r="AH174" s="53" t="s">
        <v>1591</v>
      </c>
      <c r="AI174" s="53" t="s">
        <v>2686</v>
      </c>
      <c r="AJ174" s="53" t="s">
        <v>1591</v>
      </c>
    </row>
    <row r="175" spans="1:36" s="3" customFormat="1" ht="60" x14ac:dyDescent="0.25">
      <c r="A175" s="17" t="s">
        <v>182</v>
      </c>
      <c r="B175" s="18" t="s">
        <v>1560</v>
      </c>
      <c r="C175" s="76" t="s">
        <v>6167</v>
      </c>
      <c r="D175" s="77" t="s">
        <v>6168</v>
      </c>
      <c r="E175" s="78" t="s">
        <v>2510</v>
      </c>
      <c r="F175" s="79" t="s">
        <v>1471</v>
      </c>
      <c r="G175" s="80">
        <v>71000000</v>
      </c>
      <c r="H175" s="80">
        <v>17121409.399999999</v>
      </c>
      <c r="I175" s="78" t="s">
        <v>6169</v>
      </c>
      <c r="J175" s="79" t="s">
        <v>6170</v>
      </c>
      <c r="K175" s="81" t="s">
        <v>6171</v>
      </c>
      <c r="L175" s="82">
        <v>40878</v>
      </c>
      <c r="M175" s="83">
        <v>41418</v>
      </c>
      <c r="N175" s="80">
        <v>145380016.61000001</v>
      </c>
      <c r="O175" s="82" t="s">
        <v>6172</v>
      </c>
      <c r="P175" s="84" t="s">
        <v>6173</v>
      </c>
      <c r="Q175" s="80">
        <v>23293922.599999994</v>
      </c>
      <c r="R175" s="80">
        <v>168673939.21000001</v>
      </c>
      <c r="S175" s="80"/>
      <c r="T175" s="81" t="s">
        <v>6166</v>
      </c>
      <c r="U175" s="80"/>
      <c r="V175" s="80"/>
      <c r="W175" s="80"/>
      <c r="X175" s="80"/>
      <c r="Y175" s="76" t="s">
        <v>6172</v>
      </c>
      <c r="Z175" s="19" t="s">
        <v>7038</v>
      </c>
      <c r="AA175" s="28" t="s">
        <v>8471</v>
      </c>
      <c r="AB175" s="56">
        <v>43403</v>
      </c>
      <c r="AC175" s="28" t="s">
        <v>7231</v>
      </c>
      <c r="AD175" s="28" t="s">
        <v>7232</v>
      </c>
      <c r="AE175" s="54" t="s">
        <v>7234</v>
      </c>
      <c r="AF175" s="54"/>
      <c r="AG175" s="54" t="s">
        <v>7236</v>
      </c>
      <c r="AH175" s="53" t="s">
        <v>1591</v>
      </c>
      <c r="AI175" s="53" t="s">
        <v>2686</v>
      </c>
      <c r="AJ175" s="53" t="s">
        <v>1591</v>
      </c>
    </row>
    <row r="176" spans="1:36" s="3" customFormat="1" ht="60" x14ac:dyDescent="0.25">
      <c r="A176" s="17" t="s">
        <v>182</v>
      </c>
      <c r="B176" s="18" t="s">
        <v>1560</v>
      </c>
      <c r="C176" s="76" t="s">
        <v>6174</v>
      </c>
      <c r="D176" s="45" t="s">
        <v>6175</v>
      </c>
      <c r="E176" s="78" t="s">
        <v>2503</v>
      </c>
      <c r="F176" s="79" t="s">
        <v>1471</v>
      </c>
      <c r="G176" s="80">
        <v>99000000</v>
      </c>
      <c r="H176" s="80">
        <v>72591329.680000007</v>
      </c>
      <c r="I176" s="78" t="s">
        <v>6169</v>
      </c>
      <c r="J176" s="79" t="s">
        <v>6170</v>
      </c>
      <c r="K176" s="81" t="s">
        <v>6176</v>
      </c>
      <c r="L176" s="82">
        <v>40819</v>
      </c>
      <c r="M176" s="83">
        <v>41359</v>
      </c>
      <c r="N176" s="80">
        <v>131014036.09999999</v>
      </c>
      <c r="O176" s="82" t="s">
        <v>6172</v>
      </c>
      <c r="P176" s="84">
        <v>42094</v>
      </c>
      <c r="Q176" s="80">
        <v>32706780.300000012</v>
      </c>
      <c r="R176" s="80">
        <v>163720816.40000001</v>
      </c>
      <c r="S176" s="80"/>
      <c r="T176" s="81" t="s">
        <v>6166</v>
      </c>
      <c r="U176" s="80"/>
      <c r="V176" s="80"/>
      <c r="W176" s="80"/>
      <c r="X176" s="80"/>
      <c r="Y176" s="76" t="s">
        <v>6172</v>
      </c>
      <c r="Z176" s="19" t="s">
        <v>7038</v>
      </c>
      <c r="AA176" s="28" t="s">
        <v>8471</v>
      </c>
      <c r="AB176" s="56">
        <v>43403</v>
      </c>
      <c r="AC176" s="28" t="s">
        <v>7231</v>
      </c>
      <c r="AD176" s="28" t="s">
        <v>7232</v>
      </c>
      <c r="AE176" s="54" t="s">
        <v>7234</v>
      </c>
      <c r="AF176" s="54"/>
      <c r="AG176" s="54" t="s">
        <v>7236</v>
      </c>
      <c r="AH176" s="53" t="s">
        <v>1591</v>
      </c>
      <c r="AI176" s="53" t="s">
        <v>2686</v>
      </c>
      <c r="AJ176" s="53" t="s">
        <v>1591</v>
      </c>
    </row>
    <row r="177" spans="1:36" s="3" customFormat="1" ht="60" x14ac:dyDescent="0.25">
      <c r="A177" s="17" t="s">
        <v>182</v>
      </c>
      <c r="B177" s="18" t="s">
        <v>1560</v>
      </c>
      <c r="C177" s="76" t="s">
        <v>6177</v>
      </c>
      <c r="D177" s="45" t="s">
        <v>2470</v>
      </c>
      <c r="E177" s="78" t="s">
        <v>2471</v>
      </c>
      <c r="F177" s="79" t="s">
        <v>2460</v>
      </c>
      <c r="G177" s="80">
        <v>91428513.739999995</v>
      </c>
      <c r="H177" s="80">
        <v>98593271.900000006</v>
      </c>
      <c r="I177" s="78" t="s">
        <v>2472</v>
      </c>
      <c r="J177" s="79" t="s">
        <v>2473</v>
      </c>
      <c r="K177" s="81" t="s">
        <v>2474</v>
      </c>
      <c r="L177" s="82">
        <v>41390</v>
      </c>
      <c r="M177" s="83">
        <v>41411</v>
      </c>
      <c r="N177" s="80">
        <v>101179379.2</v>
      </c>
      <c r="O177" s="82"/>
      <c r="P177" s="84">
        <v>42338</v>
      </c>
      <c r="Q177" s="80">
        <v>0</v>
      </c>
      <c r="R177" s="80">
        <v>101179379.2</v>
      </c>
      <c r="S177" s="80"/>
      <c r="T177" s="81"/>
      <c r="U177" s="80"/>
      <c r="V177" s="80"/>
      <c r="W177" s="80"/>
      <c r="X177" s="80">
        <v>1727865.91</v>
      </c>
      <c r="Y177" s="76" t="s">
        <v>2475</v>
      </c>
      <c r="Z177" s="19" t="s">
        <v>7038</v>
      </c>
      <c r="AA177" s="28" t="s">
        <v>8471</v>
      </c>
      <c r="AB177" s="56">
        <v>43403</v>
      </c>
      <c r="AC177" s="28" t="s">
        <v>7231</v>
      </c>
      <c r="AD177" s="28" t="s">
        <v>7232</v>
      </c>
      <c r="AE177" s="54" t="s">
        <v>7234</v>
      </c>
      <c r="AF177" s="54"/>
      <c r="AG177" s="54" t="s">
        <v>7237</v>
      </c>
      <c r="AH177" s="53" t="s">
        <v>1591</v>
      </c>
      <c r="AI177" s="53" t="s">
        <v>2686</v>
      </c>
      <c r="AJ177" s="53" t="s">
        <v>1591</v>
      </c>
    </row>
    <row r="178" spans="1:36" s="3" customFormat="1" ht="60" x14ac:dyDescent="0.25">
      <c r="A178" s="17" t="s">
        <v>182</v>
      </c>
      <c r="B178" s="18" t="s">
        <v>1560</v>
      </c>
      <c r="C178" s="76" t="s">
        <v>6178</v>
      </c>
      <c r="D178" s="45" t="s">
        <v>6179</v>
      </c>
      <c r="E178" s="78"/>
      <c r="F178" s="79"/>
      <c r="G178" s="80"/>
      <c r="H178" s="80"/>
      <c r="I178" s="78" t="s">
        <v>6180</v>
      </c>
      <c r="J178" s="79" t="s">
        <v>6181</v>
      </c>
      <c r="K178" s="81" t="s">
        <v>6182</v>
      </c>
      <c r="L178" s="82">
        <v>41372</v>
      </c>
      <c r="M178" s="83">
        <v>41912</v>
      </c>
      <c r="N178" s="80">
        <v>96570509.590000004</v>
      </c>
      <c r="O178" s="82" t="s">
        <v>6183</v>
      </c>
      <c r="P178" s="84">
        <v>42032</v>
      </c>
      <c r="Q178" s="80">
        <v>0</v>
      </c>
      <c r="R178" s="80">
        <v>96570509.590000004</v>
      </c>
      <c r="S178" s="80"/>
      <c r="T178" s="81" t="s">
        <v>6166</v>
      </c>
      <c r="U178" s="80"/>
      <c r="V178" s="80"/>
      <c r="W178" s="80"/>
      <c r="X178" s="80"/>
      <c r="Y178" s="76" t="s">
        <v>2273</v>
      </c>
      <c r="Z178" s="19" t="s">
        <v>7038</v>
      </c>
      <c r="AA178" s="28" t="s">
        <v>8471</v>
      </c>
      <c r="AB178" s="56">
        <v>43403</v>
      </c>
      <c r="AC178" s="28" t="s">
        <v>7231</v>
      </c>
      <c r="AD178" s="28" t="s">
        <v>7232</v>
      </c>
      <c r="AE178" s="54"/>
      <c r="AF178" s="54"/>
      <c r="AG178" s="54" t="s">
        <v>7238</v>
      </c>
      <c r="AH178" s="53" t="s">
        <v>1591</v>
      </c>
      <c r="AI178" s="53" t="s">
        <v>2686</v>
      </c>
      <c r="AJ178" s="53" t="s">
        <v>1591</v>
      </c>
    </row>
    <row r="179" spans="1:36" s="3" customFormat="1" ht="36" x14ac:dyDescent="0.25">
      <c r="A179" s="35" t="s">
        <v>2685</v>
      </c>
      <c r="B179" s="18" t="s">
        <v>1560</v>
      </c>
      <c r="C179" s="76"/>
      <c r="D179" s="43" t="s">
        <v>6185</v>
      </c>
      <c r="E179" s="78"/>
      <c r="F179" s="36"/>
      <c r="G179" s="80"/>
      <c r="H179" s="80"/>
      <c r="I179" s="36" t="s">
        <v>6186</v>
      </c>
      <c r="J179" s="34" t="s">
        <v>6187</v>
      </c>
      <c r="K179" s="37" t="s">
        <v>6188</v>
      </c>
      <c r="L179" s="38">
        <v>41851</v>
      </c>
      <c r="M179" s="39">
        <v>41971</v>
      </c>
      <c r="N179" s="42">
        <v>14478326.529999999</v>
      </c>
      <c r="O179" s="85" t="s">
        <v>46</v>
      </c>
      <c r="P179" s="86">
        <v>42154</v>
      </c>
      <c r="Q179" s="41">
        <v>0</v>
      </c>
      <c r="R179" s="41">
        <v>14478326.529999999</v>
      </c>
      <c r="S179" s="80"/>
      <c r="T179" s="81"/>
      <c r="U179" s="80"/>
      <c r="V179" s="80"/>
      <c r="W179" s="42"/>
      <c r="X179" s="42"/>
      <c r="Y179" s="34" t="s">
        <v>4321</v>
      </c>
      <c r="Z179" s="19" t="s">
        <v>7038</v>
      </c>
      <c r="AA179" s="28" t="s">
        <v>8471</v>
      </c>
      <c r="AB179" s="56">
        <v>43403</v>
      </c>
      <c r="AC179" s="28" t="s">
        <v>7231</v>
      </c>
      <c r="AD179" s="28" t="s">
        <v>7232</v>
      </c>
      <c r="AE179" s="54" t="s">
        <v>7239</v>
      </c>
      <c r="AF179" s="54"/>
      <c r="AG179" s="54" t="s">
        <v>7240</v>
      </c>
      <c r="AH179" s="53" t="s">
        <v>1591</v>
      </c>
      <c r="AI179" s="53" t="s">
        <v>2686</v>
      </c>
      <c r="AJ179" s="53" t="s">
        <v>1591</v>
      </c>
    </row>
    <row r="180" spans="1:36" s="3" customFormat="1" ht="60" x14ac:dyDescent="0.25">
      <c r="A180" s="17" t="s">
        <v>182</v>
      </c>
      <c r="B180" s="18" t="s">
        <v>1560</v>
      </c>
      <c r="C180" s="76" t="s">
        <v>6189</v>
      </c>
      <c r="D180" s="45" t="s">
        <v>6190</v>
      </c>
      <c r="E180" s="78"/>
      <c r="F180" s="79"/>
      <c r="G180" s="80"/>
      <c r="H180" s="80"/>
      <c r="I180" s="78" t="s">
        <v>301</v>
      </c>
      <c r="J180" s="79" t="s">
        <v>6191</v>
      </c>
      <c r="K180" s="81" t="s">
        <v>634</v>
      </c>
      <c r="L180" s="82">
        <v>41129</v>
      </c>
      <c r="M180" s="83">
        <v>41429</v>
      </c>
      <c r="N180" s="80">
        <v>11001290.32</v>
      </c>
      <c r="O180" s="82" t="s">
        <v>6192</v>
      </c>
      <c r="P180" s="84">
        <v>42629</v>
      </c>
      <c r="Q180" s="80">
        <v>0</v>
      </c>
      <c r="R180" s="80">
        <v>11001290.32</v>
      </c>
      <c r="S180" s="80"/>
      <c r="T180" s="81" t="s">
        <v>6166</v>
      </c>
      <c r="U180" s="80"/>
      <c r="V180" s="80"/>
      <c r="W180" s="80"/>
      <c r="X180" s="80"/>
      <c r="Y180" s="76" t="s">
        <v>2273</v>
      </c>
      <c r="Z180" s="19" t="s">
        <v>7038</v>
      </c>
      <c r="AA180" s="28" t="s">
        <v>8471</v>
      </c>
      <c r="AB180" s="56">
        <v>43403</v>
      </c>
      <c r="AC180" s="28" t="s">
        <v>7231</v>
      </c>
      <c r="AD180" s="28" t="s">
        <v>7232</v>
      </c>
      <c r="AE180" s="54"/>
      <c r="AF180" s="54"/>
      <c r="AG180" s="54" t="s">
        <v>7241</v>
      </c>
      <c r="AH180" s="53" t="s">
        <v>1591</v>
      </c>
      <c r="AI180" s="53" t="s">
        <v>2686</v>
      </c>
      <c r="AJ180" s="53" t="s">
        <v>1591</v>
      </c>
    </row>
    <row r="181" spans="1:36" s="3" customFormat="1" ht="60" x14ac:dyDescent="0.25">
      <c r="A181" s="17" t="s">
        <v>182</v>
      </c>
      <c r="B181" s="18" t="s">
        <v>1560</v>
      </c>
      <c r="C181" s="76" t="s">
        <v>6193</v>
      </c>
      <c r="D181" s="45" t="s">
        <v>6194</v>
      </c>
      <c r="E181" s="78"/>
      <c r="F181" s="79"/>
      <c r="G181" s="80"/>
      <c r="H181" s="80"/>
      <c r="I181" s="78" t="s">
        <v>563</v>
      </c>
      <c r="J181" s="79" t="s">
        <v>2512</v>
      </c>
      <c r="K181" s="81" t="s">
        <v>2513</v>
      </c>
      <c r="L181" s="82">
        <v>41085</v>
      </c>
      <c r="M181" s="83">
        <v>41265</v>
      </c>
      <c r="N181" s="80">
        <v>2657302.29</v>
      </c>
      <c r="O181" s="82" t="s">
        <v>6195</v>
      </c>
      <c r="P181" s="84">
        <v>41678</v>
      </c>
      <c r="Q181" s="80">
        <v>0</v>
      </c>
      <c r="R181" s="80">
        <v>2657302.29</v>
      </c>
      <c r="S181" s="80"/>
      <c r="T181" s="81" t="s">
        <v>6166</v>
      </c>
      <c r="U181" s="80"/>
      <c r="V181" s="80"/>
      <c r="W181" s="80"/>
      <c r="X181" s="80"/>
      <c r="Y181" s="76" t="s">
        <v>2273</v>
      </c>
      <c r="Z181" s="19" t="s">
        <v>7038</v>
      </c>
      <c r="AA181" s="28" t="s">
        <v>8471</v>
      </c>
      <c r="AB181" s="56">
        <v>43403</v>
      </c>
      <c r="AC181" s="28" t="s">
        <v>7231</v>
      </c>
      <c r="AD181" s="28" t="s">
        <v>7232</v>
      </c>
      <c r="AE181" s="54"/>
      <c r="AF181" s="54"/>
      <c r="AG181" s="54" t="s">
        <v>7241</v>
      </c>
      <c r="AH181" s="53" t="s">
        <v>1591</v>
      </c>
      <c r="AI181" s="53" t="s">
        <v>2686</v>
      </c>
      <c r="AJ181" s="53" t="s">
        <v>1591</v>
      </c>
    </row>
    <row r="182" spans="1:36" s="3" customFormat="1" ht="36" x14ac:dyDescent="0.25">
      <c r="A182" s="17" t="s">
        <v>182</v>
      </c>
      <c r="B182" s="18" t="s">
        <v>205</v>
      </c>
      <c r="C182" s="19" t="s">
        <v>221</v>
      </c>
      <c r="D182" s="45" t="s">
        <v>215</v>
      </c>
      <c r="E182" s="50" t="s">
        <v>222</v>
      </c>
      <c r="F182" s="58" t="s">
        <v>216</v>
      </c>
      <c r="G182" s="51">
        <v>12000000</v>
      </c>
      <c r="H182" s="51">
        <v>0</v>
      </c>
      <c r="I182" s="50" t="s">
        <v>223</v>
      </c>
      <c r="J182" s="58" t="s">
        <v>224</v>
      </c>
      <c r="K182" s="52" t="s">
        <v>203</v>
      </c>
      <c r="L182" s="59">
        <v>41948</v>
      </c>
      <c r="M182" s="60">
        <f>L182+720</f>
        <v>42668</v>
      </c>
      <c r="N182" s="51">
        <v>98097500</v>
      </c>
      <c r="O182" s="59"/>
      <c r="P182" s="59">
        <v>43409</v>
      </c>
      <c r="Q182" s="51"/>
      <c r="R182" s="51">
        <f t="shared" ref="R182:R184" si="4">N182+Q182</f>
        <v>98097500</v>
      </c>
      <c r="S182" s="51"/>
      <c r="T182" s="52" t="s">
        <v>52</v>
      </c>
      <c r="U182" s="51">
        <v>7841236.9800000004</v>
      </c>
      <c r="V182" s="51">
        <v>7841236.9800000004</v>
      </c>
      <c r="W182" s="51">
        <v>7841236.9800000004</v>
      </c>
      <c r="X182" s="51">
        <v>7841236.9800000004</v>
      </c>
      <c r="Y182" s="19" t="s">
        <v>186</v>
      </c>
      <c r="Z182" s="19"/>
      <c r="AA182" s="28" t="s">
        <v>8437</v>
      </c>
      <c r="AB182" s="56">
        <v>43403</v>
      </c>
      <c r="AC182" s="28" t="s">
        <v>7242</v>
      </c>
      <c r="AD182" s="28" t="s">
        <v>7243</v>
      </c>
      <c r="AE182" s="54" t="s">
        <v>7244</v>
      </c>
      <c r="AF182" s="54"/>
      <c r="AG182" s="54"/>
      <c r="AH182" s="53"/>
      <c r="AI182" s="53" t="s">
        <v>1591</v>
      </c>
      <c r="AJ182" s="53" t="s">
        <v>1591</v>
      </c>
    </row>
    <row r="183" spans="1:36" s="3" customFormat="1" ht="60" x14ac:dyDescent="0.25">
      <c r="A183" s="17" t="s">
        <v>182</v>
      </c>
      <c r="B183" s="18" t="s">
        <v>205</v>
      </c>
      <c r="C183" s="19" t="s">
        <v>206</v>
      </c>
      <c r="D183" s="45" t="s">
        <v>207</v>
      </c>
      <c r="E183" s="50"/>
      <c r="F183" s="58"/>
      <c r="G183" s="51"/>
      <c r="H183" s="51"/>
      <c r="I183" s="50" t="s">
        <v>208</v>
      </c>
      <c r="J183" s="58" t="s">
        <v>209</v>
      </c>
      <c r="K183" s="52" t="s">
        <v>210</v>
      </c>
      <c r="L183" s="59">
        <v>42634</v>
      </c>
      <c r="M183" s="60">
        <f>L183+180</f>
        <v>42814</v>
      </c>
      <c r="N183" s="51">
        <v>1323245.3799999999</v>
      </c>
      <c r="O183" s="59">
        <v>42813</v>
      </c>
      <c r="P183" s="59"/>
      <c r="Q183" s="51"/>
      <c r="R183" s="51">
        <f t="shared" si="4"/>
        <v>1323245.3799999999</v>
      </c>
      <c r="S183" s="51"/>
      <c r="T183" s="52"/>
      <c r="U183" s="51">
        <v>102424.19</v>
      </c>
      <c r="V183" s="51">
        <v>23455.05</v>
      </c>
      <c r="W183" s="51">
        <v>23455.05</v>
      </c>
      <c r="X183" s="51">
        <v>102424.19</v>
      </c>
      <c r="Y183" s="19" t="s">
        <v>695</v>
      </c>
      <c r="Z183" s="19"/>
      <c r="AA183" s="28" t="s">
        <v>8437</v>
      </c>
      <c r="AB183" s="56">
        <v>43403</v>
      </c>
      <c r="AC183" s="28" t="s">
        <v>7242</v>
      </c>
      <c r="AD183" s="28" t="s">
        <v>7243</v>
      </c>
      <c r="AE183" s="54" t="s">
        <v>7245</v>
      </c>
      <c r="AF183" s="54" t="s">
        <v>7246</v>
      </c>
      <c r="AG183" s="54" t="s">
        <v>4802</v>
      </c>
      <c r="AH183" s="53" t="s">
        <v>1591</v>
      </c>
      <c r="AI183" s="53" t="s">
        <v>2686</v>
      </c>
      <c r="AJ183" s="53" t="s">
        <v>1591</v>
      </c>
    </row>
    <row r="184" spans="1:36" s="3" customFormat="1" ht="36" x14ac:dyDescent="0.25">
      <c r="A184" s="17" t="s">
        <v>182</v>
      </c>
      <c r="B184" s="18" t="s">
        <v>205</v>
      </c>
      <c r="C184" s="19" t="s">
        <v>206</v>
      </c>
      <c r="D184" s="45" t="s">
        <v>207</v>
      </c>
      <c r="E184" s="50"/>
      <c r="F184" s="58"/>
      <c r="G184" s="51"/>
      <c r="H184" s="51"/>
      <c r="I184" s="50" t="s">
        <v>97</v>
      </c>
      <c r="J184" s="58" t="s">
        <v>4110</v>
      </c>
      <c r="K184" s="52" t="s">
        <v>3135</v>
      </c>
      <c r="L184" s="59">
        <v>42933</v>
      </c>
      <c r="M184" s="60">
        <f>L184+180</f>
        <v>43113</v>
      </c>
      <c r="N184" s="51">
        <v>1220821.17</v>
      </c>
      <c r="O184" s="59">
        <v>43112</v>
      </c>
      <c r="P184" s="59"/>
      <c r="Q184" s="51"/>
      <c r="R184" s="51">
        <f t="shared" si="4"/>
        <v>1220821.17</v>
      </c>
      <c r="S184" s="51"/>
      <c r="T184" s="52"/>
      <c r="U184" s="51">
        <v>1220821.17</v>
      </c>
      <c r="V184" s="51">
        <v>33053.11</v>
      </c>
      <c r="W184" s="51">
        <v>33053.11</v>
      </c>
      <c r="X184" s="51">
        <v>33053.11</v>
      </c>
      <c r="Y184" s="19" t="s">
        <v>127</v>
      </c>
      <c r="Z184" s="19"/>
      <c r="AA184" s="28" t="s">
        <v>8437</v>
      </c>
      <c r="AB184" s="56">
        <v>43403</v>
      </c>
      <c r="AC184" s="28" t="s">
        <v>7242</v>
      </c>
      <c r="AD184" s="28" t="s">
        <v>7243</v>
      </c>
      <c r="AE184" s="54"/>
      <c r="AF184" s="54"/>
      <c r="AG184" s="54" t="s">
        <v>4802</v>
      </c>
      <c r="AH184" s="53"/>
      <c r="AI184" s="53" t="s">
        <v>1591</v>
      </c>
      <c r="AJ184" s="53" t="s">
        <v>1591</v>
      </c>
    </row>
    <row r="185" spans="1:36" s="3" customFormat="1" ht="60" x14ac:dyDescent="0.25">
      <c r="A185" s="35" t="s">
        <v>2685</v>
      </c>
      <c r="B185" s="18" t="s">
        <v>205</v>
      </c>
      <c r="C185" s="76"/>
      <c r="D185" s="43" t="s">
        <v>6196</v>
      </c>
      <c r="E185" s="78"/>
      <c r="F185" s="36"/>
      <c r="G185" s="80"/>
      <c r="H185" s="80"/>
      <c r="I185" s="36" t="s">
        <v>1296</v>
      </c>
      <c r="J185" s="34" t="s">
        <v>6197</v>
      </c>
      <c r="K185" s="37" t="s">
        <v>1062</v>
      </c>
      <c r="L185" s="38">
        <v>41932</v>
      </c>
      <c r="M185" s="39">
        <v>42052</v>
      </c>
      <c r="N185" s="42">
        <v>137665.25</v>
      </c>
      <c r="O185" s="85">
        <v>42051</v>
      </c>
      <c r="P185" s="86">
        <v>42052</v>
      </c>
      <c r="Q185" s="41"/>
      <c r="R185" s="41">
        <v>137665.25</v>
      </c>
      <c r="S185" s="80"/>
      <c r="T185" s="81"/>
      <c r="U185" s="80"/>
      <c r="V185" s="80"/>
      <c r="W185" s="42"/>
      <c r="X185" s="42">
        <v>84626.15</v>
      </c>
      <c r="Y185" s="34" t="s">
        <v>4321</v>
      </c>
      <c r="Z185" s="19" t="s">
        <v>7038</v>
      </c>
      <c r="AA185" s="28" t="s">
        <v>8437</v>
      </c>
      <c r="AB185" s="56">
        <v>43403</v>
      </c>
      <c r="AC185" s="28" t="s">
        <v>7242</v>
      </c>
      <c r="AD185" s="28" t="s">
        <v>7243</v>
      </c>
      <c r="AE185" s="54" t="s">
        <v>7245</v>
      </c>
      <c r="AF185" s="54"/>
      <c r="AG185" s="54" t="s">
        <v>4802</v>
      </c>
      <c r="AH185" s="53" t="s">
        <v>1591</v>
      </c>
      <c r="AI185" s="53" t="s">
        <v>2686</v>
      </c>
      <c r="AJ185" s="53" t="s">
        <v>1591</v>
      </c>
    </row>
    <row r="186" spans="1:36" s="3" customFormat="1" ht="156" x14ac:dyDescent="0.25">
      <c r="A186" s="17" t="s">
        <v>182</v>
      </c>
      <c r="B186" s="18" t="s">
        <v>225</v>
      </c>
      <c r="C186" s="19" t="s">
        <v>3954</v>
      </c>
      <c r="D186" s="45" t="s">
        <v>226</v>
      </c>
      <c r="E186" s="50" t="s">
        <v>227</v>
      </c>
      <c r="F186" s="58" t="s">
        <v>43</v>
      </c>
      <c r="G186" s="51">
        <v>1258979.72</v>
      </c>
      <c r="H186" s="51">
        <v>25433.919999999998</v>
      </c>
      <c r="I186" s="50" t="s">
        <v>228</v>
      </c>
      <c r="J186" s="58" t="s">
        <v>229</v>
      </c>
      <c r="K186" s="52" t="s">
        <v>230</v>
      </c>
      <c r="L186" s="59">
        <v>41892</v>
      </c>
      <c r="M186" s="60">
        <f>L186+180</f>
        <v>42072</v>
      </c>
      <c r="N186" s="51">
        <v>762566.46</v>
      </c>
      <c r="O186" s="59"/>
      <c r="P186" s="59">
        <v>42666</v>
      </c>
      <c r="Q186" s="51"/>
      <c r="R186" s="51">
        <f>N186+Q186</f>
        <v>762566.46</v>
      </c>
      <c r="S186" s="51"/>
      <c r="T186" s="52" t="s">
        <v>231</v>
      </c>
      <c r="U186" s="51" t="s">
        <v>4254</v>
      </c>
      <c r="V186" s="51">
        <v>169903.77</v>
      </c>
      <c r="W186" s="51">
        <v>169903.77</v>
      </c>
      <c r="X186" s="51">
        <v>169903.77</v>
      </c>
      <c r="Y186" s="19" t="s">
        <v>4255</v>
      </c>
      <c r="Z186" s="19"/>
      <c r="AA186" s="28" t="s">
        <v>8438</v>
      </c>
      <c r="AB186" s="56">
        <v>43403</v>
      </c>
      <c r="AC186" s="28" t="s">
        <v>7247</v>
      </c>
      <c r="AD186" s="28" t="s">
        <v>7248</v>
      </c>
      <c r="AE186" s="54" t="s">
        <v>7249</v>
      </c>
      <c r="AF186" s="54"/>
      <c r="AG186" s="54" t="s">
        <v>7250</v>
      </c>
      <c r="AH186" s="53" t="s">
        <v>1591</v>
      </c>
      <c r="AI186" s="53" t="s">
        <v>2686</v>
      </c>
      <c r="AJ186" s="53" t="s">
        <v>1591</v>
      </c>
    </row>
    <row r="187" spans="1:36" s="3" customFormat="1" ht="156" x14ac:dyDescent="0.25">
      <c r="A187" s="17" t="s">
        <v>182</v>
      </c>
      <c r="B187" s="18" t="s">
        <v>225</v>
      </c>
      <c r="C187" s="19" t="s">
        <v>3954</v>
      </c>
      <c r="D187" s="45" t="s">
        <v>3955</v>
      </c>
      <c r="E187" s="50"/>
      <c r="F187" s="58"/>
      <c r="G187" s="51"/>
      <c r="H187" s="51"/>
      <c r="I187" s="50" t="s">
        <v>235</v>
      </c>
      <c r="J187" s="58" t="s">
        <v>4112</v>
      </c>
      <c r="K187" s="52" t="s">
        <v>218</v>
      </c>
      <c r="L187" s="59">
        <v>42068</v>
      </c>
      <c r="M187" s="60">
        <f>L187+113</f>
        <v>42181</v>
      </c>
      <c r="N187" s="51">
        <v>671228.17</v>
      </c>
      <c r="O187" s="59"/>
      <c r="P187" s="59">
        <v>42666</v>
      </c>
      <c r="Q187" s="51"/>
      <c r="R187" s="51">
        <f>N187+Q187</f>
        <v>671228.17</v>
      </c>
      <c r="S187" s="51"/>
      <c r="T187" s="52" t="s">
        <v>231</v>
      </c>
      <c r="U187" s="51"/>
      <c r="V187" s="51" t="s">
        <v>4258</v>
      </c>
      <c r="W187" s="51">
        <v>46712.11</v>
      </c>
      <c r="X187" s="51">
        <v>112584.64</v>
      </c>
      <c r="Y187" s="19" t="s">
        <v>4255</v>
      </c>
      <c r="Z187" s="19"/>
      <c r="AA187" s="28" t="s">
        <v>8438</v>
      </c>
      <c r="AB187" s="56">
        <v>43403</v>
      </c>
      <c r="AC187" s="28" t="s">
        <v>7247</v>
      </c>
      <c r="AD187" s="28" t="s">
        <v>7248</v>
      </c>
      <c r="AE187" s="54" t="s">
        <v>7251</v>
      </c>
      <c r="AF187" s="54"/>
      <c r="AG187" s="54" t="s">
        <v>7252</v>
      </c>
      <c r="AH187" s="53" t="s">
        <v>1591</v>
      </c>
      <c r="AI187" s="53" t="s">
        <v>2686</v>
      </c>
      <c r="AJ187" s="53" t="s">
        <v>1591</v>
      </c>
    </row>
    <row r="188" spans="1:36" s="3" customFormat="1" ht="144" x14ac:dyDescent="0.25">
      <c r="A188" s="17" t="s">
        <v>182</v>
      </c>
      <c r="B188" s="18" t="s">
        <v>225</v>
      </c>
      <c r="C188" s="19" t="s">
        <v>3954</v>
      </c>
      <c r="D188" s="45" t="s">
        <v>232</v>
      </c>
      <c r="E188" s="50"/>
      <c r="F188" s="58"/>
      <c r="G188" s="51"/>
      <c r="H188" s="51"/>
      <c r="I188" s="50" t="s">
        <v>233</v>
      </c>
      <c r="J188" s="58" t="s">
        <v>4111</v>
      </c>
      <c r="K188" s="52" t="s">
        <v>234</v>
      </c>
      <c r="L188" s="59">
        <v>41894</v>
      </c>
      <c r="M188" s="60">
        <f>L188+180</f>
        <v>42074</v>
      </c>
      <c r="N188" s="51">
        <v>594240.54</v>
      </c>
      <c r="O188" s="59"/>
      <c r="P188" s="59">
        <v>43519</v>
      </c>
      <c r="Q188" s="51"/>
      <c r="R188" s="51">
        <f>N188+Q188</f>
        <v>594240.54</v>
      </c>
      <c r="S188" s="51"/>
      <c r="T188" s="52" t="s">
        <v>231</v>
      </c>
      <c r="U188" s="51">
        <v>229310.5</v>
      </c>
      <c r="V188" s="51" t="s">
        <v>4256</v>
      </c>
      <c r="W188" s="51">
        <v>229310.5</v>
      </c>
      <c r="X188" s="51">
        <v>229310.5</v>
      </c>
      <c r="Y188" s="19" t="s">
        <v>4257</v>
      </c>
      <c r="Z188" s="19"/>
      <c r="AA188" s="28" t="s">
        <v>8438</v>
      </c>
      <c r="AB188" s="56">
        <v>43403</v>
      </c>
      <c r="AC188" s="28" t="s">
        <v>7247</v>
      </c>
      <c r="AD188" s="28" t="s">
        <v>7248</v>
      </c>
      <c r="AE188" s="54" t="s">
        <v>7253</v>
      </c>
      <c r="AF188" s="54"/>
      <c r="AG188" s="54" t="s">
        <v>7254</v>
      </c>
      <c r="AH188" s="53" t="s">
        <v>1591</v>
      </c>
      <c r="AI188" s="53" t="s">
        <v>2686</v>
      </c>
      <c r="AJ188" s="53" t="s">
        <v>1591</v>
      </c>
    </row>
    <row r="189" spans="1:36" s="3" customFormat="1" ht="60" x14ac:dyDescent="0.25">
      <c r="A189" s="17" t="s">
        <v>182</v>
      </c>
      <c r="B189" s="18" t="s">
        <v>225</v>
      </c>
      <c r="C189" s="19" t="s">
        <v>3956</v>
      </c>
      <c r="D189" s="45" t="s">
        <v>3957</v>
      </c>
      <c r="E189" s="50"/>
      <c r="F189" s="58"/>
      <c r="G189" s="51"/>
      <c r="H189" s="51"/>
      <c r="I189" s="50" t="s">
        <v>4113</v>
      </c>
      <c r="J189" s="58"/>
      <c r="K189" s="52"/>
      <c r="L189" s="59"/>
      <c r="M189" s="60"/>
      <c r="N189" s="51"/>
      <c r="O189" s="59"/>
      <c r="P189" s="59"/>
      <c r="Q189" s="51"/>
      <c r="R189" s="51">
        <f>N189+Q189</f>
        <v>0</v>
      </c>
      <c r="S189" s="51"/>
      <c r="T189" s="52"/>
      <c r="U189" s="51"/>
      <c r="V189" s="51"/>
      <c r="W189" s="51"/>
      <c r="X189" s="51"/>
      <c r="Y189" s="19"/>
      <c r="Z189" s="19" t="s">
        <v>4307</v>
      </c>
      <c r="AA189" s="28" t="s">
        <v>8438</v>
      </c>
      <c r="AB189" s="56">
        <v>43403</v>
      </c>
      <c r="AC189" s="28" t="s">
        <v>7247</v>
      </c>
      <c r="AD189" s="28" t="s">
        <v>7248</v>
      </c>
      <c r="AE189" s="54" t="s">
        <v>7255</v>
      </c>
      <c r="AF189" s="54"/>
      <c r="AG189" s="54" t="s">
        <v>7256</v>
      </c>
      <c r="AH189" s="53" t="s">
        <v>1591</v>
      </c>
      <c r="AI189" s="53" t="s">
        <v>2686</v>
      </c>
      <c r="AJ189" s="53" t="s">
        <v>1591</v>
      </c>
    </row>
    <row r="190" spans="1:36" s="3" customFormat="1" ht="60" x14ac:dyDescent="0.25">
      <c r="A190" s="17" t="s">
        <v>182</v>
      </c>
      <c r="B190" s="18" t="s">
        <v>225</v>
      </c>
      <c r="C190" s="19" t="s">
        <v>3956</v>
      </c>
      <c r="D190" s="45" t="s">
        <v>3958</v>
      </c>
      <c r="E190" s="50"/>
      <c r="F190" s="58"/>
      <c r="G190" s="51"/>
      <c r="H190" s="51"/>
      <c r="I190" s="50" t="s">
        <v>4113</v>
      </c>
      <c r="J190" s="58"/>
      <c r="K190" s="52"/>
      <c r="L190" s="59"/>
      <c r="M190" s="60"/>
      <c r="N190" s="51"/>
      <c r="O190" s="59"/>
      <c r="P190" s="59"/>
      <c r="Q190" s="51"/>
      <c r="R190" s="51">
        <f>N190+Q190</f>
        <v>0</v>
      </c>
      <c r="S190" s="51"/>
      <c r="T190" s="52"/>
      <c r="U190" s="51"/>
      <c r="V190" s="51"/>
      <c r="W190" s="51"/>
      <c r="X190" s="51"/>
      <c r="Y190" s="19"/>
      <c r="Z190" s="19" t="s">
        <v>4307</v>
      </c>
      <c r="AA190" s="28" t="s">
        <v>8438</v>
      </c>
      <c r="AB190" s="56">
        <v>43403</v>
      </c>
      <c r="AC190" s="28" t="s">
        <v>7247</v>
      </c>
      <c r="AD190" s="28" t="s">
        <v>7248</v>
      </c>
      <c r="AE190" s="54" t="s">
        <v>7255</v>
      </c>
      <c r="AF190" s="54"/>
      <c r="AG190" s="54" t="s">
        <v>7256</v>
      </c>
      <c r="AH190" s="53" t="s">
        <v>1591</v>
      </c>
      <c r="AI190" s="53" t="s">
        <v>2686</v>
      </c>
      <c r="AJ190" s="53" t="s">
        <v>1591</v>
      </c>
    </row>
    <row r="191" spans="1:36" s="3" customFormat="1" ht="409.5" x14ac:dyDescent="0.25">
      <c r="A191" s="17" t="s">
        <v>182</v>
      </c>
      <c r="B191" s="18" t="s">
        <v>497</v>
      </c>
      <c r="C191" s="76" t="s">
        <v>6198</v>
      </c>
      <c r="D191" s="45" t="s">
        <v>6199</v>
      </c>
      <c r="E191" s="78" t="s">
        <v>46</v>
      </c>
      <c r="F191" s="79" t="s">
        <v>46</v>
      </c>
      <c r="G191" s="80" t="s">
        <v>46</v>
      </c>
      <c r="H191" s="80" t="s">
        <v>46</v>
      </c>
      <c r="I191" s="78" t="s">
        <v>6200</v>
      </c>
      <c r="J191" s="79" t="s">
        <v>500</v>
      </c>
      <c r="K191" s="81" t="s">
        <v>6201</v>
      </c>
      <c r="L191" s="82">
        <v>40520</v>
      </c>
      <c r="M191" s="83">
        <v>40700</v>
      </c>
      <c r="N191" s="80">
        <v>7299284.1500000004</v>
      </c>
      <c r="O191" s="82">
        <v>40700</v>
      </c>
      <c r="P191" s="84">
        <v>480</v>
      </c>
      <c r="Q191" s="80">
        <v>0</v>
      </c>
      <c r="R191" s="80">
        <v>7299284.1500000004</v>
      </c>
      <c r="S191" s="80"/>
      <c r="T191" s="81" t="s">
        <v>211</v>
      </c>
      <c r="U191" s="80"/>
      <c r="V191" s="80"/>
      <c r="W191" s="80"/>
      <c r="X191" s="80">
        <v>6092486.5999999996</v>
      </c>
      <c r="Y191" s="76" t="s">
        <v>498</v>
      </c>
      <c r="Z191" s="19" t="s">
        <v>7038</v>
      </c>
      <c r="AA191" s="28" t="s">
        <v>8474</v>
      </c>
      <c r="AB191" s="56">
        <v>43424</v>
      </c>
      <c r="AC191" s="28" t="s">
        <v>7258</v>
      </c>
      <c r="AD191" s="28" t="s">
        <v>7259</v>
      </c>
      <c r="AE191" s="54" t="s">
        <v>7260</v>
      </c>
      <c r="AF191" s="54"/>
      <c r="AG191" s="54" t="s">
        <v>7261</v>
      </c>
      <c r="AH191" s="53" t="s">
        <v>1591</v>
      </c>
      <c r="AI191" s="53" t="s">
        <v>2686</v>
      </c>
      <c r="AJ191" s="53" t="s">
        <v>1591</v>
      </c>
    </row>
    <row r="192" spans="1:36" s="3" customFormat="1" ht="84" x14ac:dyDescent="0.25">
      <c r="A192" s="17" t="s">
        <v>182</v>
      </c>
      <c r="B192" s="18" t="s">
        <v>497</v>
      </c>
      <c r="C192" s="76" t="s">
        <v>6202</v>
      </c>
      <c r="D192" s="45" t="s">
        <v>6203</v>
      </c>
      <c r="E192" s="78" t="s">
        <v>46</v>
      </c>
      <c r="F192" s="79" t="s">
        <v>46</v>
      </c>
      <c r="G192" s="80" t="s">
        <v>46</v>
      </c>
      <c r="H192" s="80" t="s">
        <v>46</v>
      </c>
      <c r="I192" s="78" t="s">
        <v>499</v>
      </c>
      <c r="J192" s="79" t="s">
        <v>5467</v>
      </c>
      <c r="K192" s="81" t="s">
        <v>6204</v>
      </c>
      <c r="L192" s="82">
        <v>41497</v>
      </c>
      <c r="M192" s="83">
        <v>41797</v>
      </c>
      <c r="N192" s="80">
        <v>6268303.2400000002</v>
      </c>
      <c r="O192" s="82">
        <v>41796</v>
      </c>
      <c r="P192" s="84">
        <v>0</v>
      </c>
      <c r="Q192" s="80">
        <v>0</v>
      </c>
      <c r="R192" s="80">
        <v>6268303.2400000002</v>
      </c>
      <c r="S192" s="80"/>
      <c r="T192" s="81" t="s">
        <v>211</v>
      </c>
      <c r="U192" s="80"/>
      <c r="V192" s="80"/>
      <c r="W192" s="80"/>
      <c r="X192" s="80">
        <v>3795259.49</v>
      </c>
      <c r="Y192" s="76" t="s">
        <v>498</v>
      </c>
      <c r="Z192" s="19" t="s">
        <v>7038</v>
      </c>
      <c r="AA192" s="28"/>
      <c r="AB192" s="56"/>
      <c r="AC192" s="28"/>
      <c r="AD192" s="28"/>
      <c r="AE192" s="54"/>
      <c r="AF192" s="54"/>
      <c r="AG192" s="54"/>
      <c r="AH192" s="53"/>
      <c r="AI192" s="53" t="s">
        <v>1591</v>
      </c>
      <c r="AJ192" s="53" t="s">
        <v>1591</v>
      </c>
    </row>
    <row r="193" spans="1:36" s="3" customFormat="1" ht="216" x14ac:dyDescent="0.25">
      <c r="A193" s="17" t="s">
        <v>182</v>
      </c>
      <c r="B193" s="18" t="s">
        <v>497</v>
      </c>
      <c r="C193" s="76" t="s">
        <v>6205</v>
      </c>
      <c r="D193" s="45" t="s">
        <v>6206</v>
      </c>
      <c r="E193" s="78" t="s">
        <v>46</v>
      </c>
      <c r="F193" s="79" t="s">
        <v>46</v>
      </c>
      <c r="G193" s="80" t="s">
        <v>46</v>
      </c>
      <c r="H193" s="80" t="s">
        <v>46</v>
      </c>
      <c r="I193" s="78" t="s">
        <v>6207</v>
      </c>
      <c r="J193" s="79" t="s">
        <v>5467</v>
      </c>
      <c r="K193" s="81" t="s">
        <v>6208</v>
      </c>
      <c r="L193" s="82">
        <v>40712</v>
      </c>
      <c r="M193" s="83">
        <v>41012</v>
      </c>
      <c r="N193" s="80">
        <v>4707898.07</v>
      </c>
      <c r="O193" s="82">
        <v>41342</v>
      </c>
      <c r="P193" s="84">
        <v>780</v>
      </c>
      <c r="Q193" s="80">
        <v>1542201.0499999998</v>
      </c>
      <c r="R193" s="80">
        <v>6250099.1200000001</v>
      </c>
      <c r="S193" s="80">
        <v>183276.36</v>
      </c>
      <c r="T193" s="81" t="s">
        <v>211</v>
      </c>
      <c r="U193" s="80"/>
      <c r="V193" s="80"/>
      <c r="W193" s="80"/>
      <c r="X193" s="80">
        <v>3456234.14</v>
      </c>
      <c r="Y193" s="76" t="s">
        <v>498</v>
      </c>
      <c r="Z193" s="19" t="s">
        <v>7038</v>
      </c>
      <c r="AA193" s="28" t="s">
        <v>8474</v>
      </c>
      <c r="AB193" s="56">
        <v>43424</v>
      </c>
      <c r="AC193" s="28" t="s">
        <v>7258</v>
      </c>
      <c r="AD193" s="28" t="s">
        <v>7259</v>
      </c>
      <c r="AE193" s="54" t="s">
        <v>7262</v>
      </c>
      <c r="AF193" s="54"/>
      <c r="AG193" s="54" t="s">
        <v>7263</v>
      </c>
      <c r="AH193" s="53" t="s">
        <v>1591</v>
      </c>
      <c r="AI193" s="53" t="s">
        <v>2686</v>
      </c>
      <c r="AJ193" s="53" t="s">
        <v>1591</v>
      </c>
    </row>
    <row r="194" spans="1:36" s="3" customFormat="1" ht="396" x14ac:dyDescent="0.25">
      <c r="A194" s="17" t="s">
        <v>182</v>
      </c>
      <c r="B194" s="18" t="s">
        <v>497</v>
      </c>
      <c r="C194" s="76" t="s">
        <v>6209</v>
      </c>
      <c r="D194" s="45" t="s">
        <v>6210</v>
      </c>
      <c r="E194" s="78" t="s">
        <v>46</v>
      </c>
      <c r="F194" s="79" t="s">
        <v>46</v>
      </c>
      <c r="G194" s="80" t="s">
        <v>46</v>
      </c>
      <c r="H194" s="80" t="s">
        <v>46</v>
      </c>
      <c r="I194" s="78" t="s">
        <v>6211</v>
      </c>
      <c r="J194" s="79" t="s">
        <v>6212</v>
      </c>
      <c r="K194" s="81" t="s">
        <v>6213</v>
      </c>
      <c r="L194" s="82">
        <v>40714</v>
      </c>
      <c r="M194" s="83">
        <v>40954</v>
      </c>
      <c r="N194" s="80">
        <v>3124553.81</v>
      </c>
      <c r="O194" s="82">
        <v>41254</v>
      </c>
      <c r="P194" s="84">
        <v>840</v>
      </c>
      <c r="Q194" s="80">
        <v>0</v>
      </c>
      <c r="R194" s="80">
        <v>3124553.81</v>
      </c>
      <c r="S194" s="80"/>
      <c r="T194" s="81" t="s">
        <v>211</v>
      </c>
      <c r="U194" s="80"/>
      <c r="V194" s="80"/>
      <c r="W194" s="80"/>
      <c r="X194" s="80">
        <v>2983625.67</v>
      </c>
      <c r="Y194" s="76" t="s">
        <v>498</v>
      </c>
      <c r="Z194" s="19" t="s">
        <v>7038</v>
      </c>
      <c r="AA194" s="28" t="s">
        <v>8474</v>
      </c>
      <c r="AB194" s="56">
        <v>43424</v>
      </c>
      <c r="AC194" s="28" t="s">
        <v>7258</v>
      </c>
      <c r="AD194" s="28" t="s">
        <v>7259</v>
      </c>
      <c r="AE194" s="54" t="s">
        <v>7264</v>
      </c>
      <c r="AF194" s="54"/>
      <c r="AG194" s="54" t="s">
        <v>7265</v>
      </c>
      <c r="AH194" s="53" t="s">
        <v>1591</v>
      </c>
      <c r="AI194" s="53" t="s">
        <v>2686</v>
      </c>
      <c r="AJ194" s="53" t="s">
        <v>1591</v>
      </c>
    </row>
    <row r="195" spans="1:36" s="3" customFormat="1" ht="409.5" x14ac:dyDescent="0.25">
      <c r="A195" s="17" t="s">
        <v>182</v>
      </c>
      <c r="B195" s="18" t="s">
        <v>497</v>
      </c>
      <c r="C195" s="76" t="s">
        <v>6214</v>
      </c>
      <c r="D195" s="45" t="s">
        <v>6215</v>
      </c>
      <c r="E195" s="78" t="s">
        <v>46</v>
      </c>
      <c r="F195" s="79" t="s">
        <v>46</v>
      </c>
      <c r="G195" s="80" t="s">
        <v>46</v>
      </c>
      <c r="H195" s="80" t="s">
        <v>46</v>
      </c>
      <c r="I195" s="78" t="s">
        <v>6216</v>
      </c>
      <c r="J195" s="79" t="s">
        <v>6217</v>
      </c>
      <c r="K195" s="81" t="s">
        <v>6218</v>
      </c>
      <c r="L195" s="82">
        <v>41264</v>
      </c>
      <c r="M195" s="83">
        <v>41564</v>
      </c>
      <c r="N195" s="80">
        <v>1962891.48</v>
      </c>
      <c r="O195" s="82">
        <v>41646</v>
      </c>
      <c r="P195" s="84">
        <v>300</v>
      </c>
      <c r="Q195" s="80">
        <v>0</v>
      </c>
      <c r="R195" s="80">
        <v>1962891.48</v>
      </c>
      <c r="S195" s="80"/>
      <c r="T195" s="81" t="s">
        <v>211</v>
      </c>
      <c r="U195" s="80"/>
      <c r="V195" s="80"/>
      <c r="W195" s="80"/>
      <c r="X195" s="80">
        <v>1002150.94</v>
      </c>
      <c r="Y195" s="76" t="s">
        <v>498</v>
      </c>
      <c r="Z195" s="19" t="s">
        <v>7038</v>
      </c>
      <c r="AA195" s="28" t="s">
        <v>8474</v>
      </c>
      <c r="AB195" s="56">
        <v>43424</v>
      </c>
      <c r="AC195" s="28" t="s">
        <v>7258</v>
      </c>
      <c r="AD195" s="28" t="s">
        <v>7259</v>
      </c>
      <c r="AE195" s="54" t="s">
        <v>7266</v>
      </c>
      <c r="AF195" s="54"/>
      <c r="AG195" s="54" t="s">
        <v>7267</v>
      </c>
      <c r="AH195" s="53" t="s">
        <v>1591</v>
      </c>
      <c r="AI195" s="53" t="s">
        <v>2686</v>
      </c>
      <c r="AJ195" s="53" t="s">
        <v>1591</v>
      </c>
    </row>
    <row r="196" spans="1:36" s="3" customFormat="1" ht="276" x14ac:dyDescent="0.25">
      <c r="A196" s="17" t="s">
        <v>182</v>
      </c>
      <c r="B196" s="18" t="s">
        <v>501</v>
      </c>
      <c r="C196" s="19" t="s">
        <v>3962</v>
      </c>
      <c r="D196" s="45" t="s">
        <v>504</v>
      </c>
      <c r="E196" s="50"/>
      <c r="F196" s="58"/>
      <c r="G196" s="51"/>
      <c r="H196" s="51"/>
      <c r="I196" s="50" t="s">
        <v>4115</v>
      </c>
      <c r="J196" s="58" t="s">
        <v>505</v>
      </c>
      <c r="K196" s="52" t="s">
        <v>506</v>
      </c>
      <c r="L196" s="59">
        <v>41660</v>
      </c>
      <c r="M196" s="60" t="s">
        <v>2750</v>
      </c>
      <c r="N196" s="51">
        <v>20732030.77</v>
      </c>
      <c r="O196" s="59" t="s">
        <v>4260</v>
      </c>
      <c r="P196" s="59"/>
      <c r="Q196" s="51">
        <v>0</v>
      </c>
      <c r="R196" s="51">
        <f>N196+Q196</f>
        <v>20732030.77</v>
      </c>
      <c r="S196" s="51">
        <v>0</v>
      </c>
      <c r="T196" s="52">
        <v>449051</v>
      </c>
      <c r="U196" s="51">
        <v>4676933.45</v>
      </c>
      <c r="V196" s="51"/>
      <c r="W196" s="51"/>
      <c r="X196" s="51"/>
      <c r="Y196" s="19" t="s">
        <v>576</v>
      </c>
      <c r="Z196" s="19"/>
      <c r="AA196" s="28" t="s">
        <v>8513</v>
      </c>
      <c r="AB196" s="56">
        <v>43398</v>
      </c>
      <c r="AC196" s="28" t="s">
        <v>7268</v>
      </c>
      <c r="AD196" s="28" t="s">
        <v>7269</v>
      </c>
      <c r="AE196" s="54" t="s">
        <v>7270</v>
      </c>
      <c r="AF196" s="54"/>
      <c r="AG196" s="54" t="s">
        <v>7271</v>
      </c>
      <c r="AH196" s="53" t="s">
        <v>1591</v>
      </c>
      <c r="AI196" s="53" t="s">
        <v>2686</v>
      </c>
      <c r="AJ196" s="53" t="s">
        <v>1591</v>
      </c>
    </row>
    <row r="197" spans="1:36" s="3" customFormat="1" ht="60" x14ac:dyDescent="0.25">
      <c r="A197" s="35" t="s">
        <v>2685</v>
      </c>
      <c r="B197" s="18" t="s">
        <v>501</v>
      </c>
      <c r="C197" s="76"/>
      <c r="D197" s="43"/>
      <c r="E197" s="78"/>
      <c r="F197" s="36"/>
      <c r="G197" s="80"/>
      <c r="H197" s="80"/>
      <c r="I197" s="36" t="s">
        <v>6220</v>
      </c>
      <c r="J197" s="34"/>
      <c r="K197" s="37"/>
      <c r="L197" s="38"/>
      <c r="M197" s="39"/>
      <c r="N197" s="42">
        <v>12439218.460000001</v>
      </c>
      <c r="O197" s="85"/>
      <c r="P197" s="86">
        <v>0</v>
      </c>
      <c r="Q197" s="41"/>
      <c r="R197" s="41">
        <v>12439218.460000001</v>
      </c>
      <c r="S197" s="80"/>
      <c r="T197" s="81"/>
      <c r="U197" s="80"/>
      <c r="V197" s="80"/>
      <c r="W197" s="42"/>
      <c r="X197" s="42">
        <v>2806160.08</v>
      </c>
      <c r="Y197" s="34" t="s">
        <v>4321</v>
      </c>
      <c r="Z197" s="19" t="s">
        <v>7038</v>
      </c>
      <c r="AA197" s="28" t="s">
        <v>8513</v>
      </c>
      <c r="AB197" s="56">
        <v>43398</v>
      </c>
      <c r="AC197" s="28" t="s">
        <v>7268</v>
      </c>
      <c r="AD197" s="28" t="s">
        <v>7269</v>
      </c>
      <c r="AE197" s="54" t="s">
        <v>7272</v>
      </c>
      <c r="AF197" s="54"/>
      <c r="AG197" s="54"/>
      <c r="AH197" s="53" t="s">
        <v>1591</v>
      </c>
      <c r="AI197" s="53" t="s">
        <v>2686</v>
      </c>
      <c r="AJ197" s="53" t="s">
        <v>1591</v>
      </c>
    </row>
    <row r="198" spans="1:36" s="3" customFormat="1" ht="216" x14ac:dyDescent="0.25">
      <c r="A198" s="35" t="s">
        <v>182</v>
      </c>
      <c r="B198" s="18" t="s">
        <v>501</v>
      </c>
      <c r="C198" s="76"/>
      <c r="D198" s="43" t="s">
        <v>6221</v>
      </c>
      <c r="E198" s="78"/>
      <c r="F198" s="36"/>
      <c r="G198" s="80"/>
      <c r="H198" s="80"/>
      <c r="I198" s="36" t="s">
        <v>508</v>
      </c>
      <c r="J198" s="34" t="s">
        <v>509</v>
      </c>
      <c r="K198" s="37" t="s">
        <v>6222</v>
      </c>
      <c r="L198" s="38">
        <v>41757</v>
      </c>
      <c r="M198" s="39">
        <v>42001</v>
      </c>
      <c r="N198" s="42">
        <v>2498055.2599999998</v>
      </c>
      <c r="O198" s="85"/>
      <c r="P198" s="86"/>
      <c r="Q198" s="41"/>
      <c r="R198" s="41">
        <v>2498055.2599999998</v>
      </c>
      <c r="S198" s="80"/>
      <c r="T198" s="81"/>
      <c r="U198" s="80"/>
      <c r="V198" s="80"/>
      <c r="W198" s="42"/>
      <c r="X198" s="42">
        <v>1880731.8</v>
      </c>
      <c r="Y198" s="34" t="s">
        <v>4321</v>
      </c>
      <c r="Z198" s="19" t="s">
        <v>7038</v>
      </c>
      <c r="AA198" s="28" t="s">
        <v>8513</v>
      </c>
      <c r="AB198" s="56">
        <v>43398</v>
      </c>
      <c r="AC198" s="28" t="s">
        <v>7268</v>
      </c>
      <c r="AD198" s="28" t="s">
        <v>7269</v>
      </c>
      <c r="AE198" s="54" t="s">
        <v>7273</v>
      </c>
      <c r="AF198" s="54"/>
      <c r="AG198" s="54" t="s">
        <v>7274</v>
      </c>
      <c r="AH198" s="53" t="s">
        <v>1591</v>
      </c>
      <c r="AI198" s="53" t="s">
        <v>2686</v>
      </c>
      <c r="AJ198" s="53" t="s">
        <v>1591</v>
      </c>
    </row>
    <row r="199" spans="1:36" s="3" customFormat="1" ht="204" x14ac:dyDescent="0.25">
      <c r="A199" s="17" t="s">
        <v>182</v>
      </c>
      <c r="B199" s="18" t="s">
        <v>501</v>
      </c>
      <c r="C199" s="19" t="s">
        <v>3960</v>
      </c>
      <c r="D199" s="45" t="s">
        <v>3961</v>
      </c>
      <c r="E199" s="50"/>
      <c r="F199" s="58"/>
      <c r="G199" s="51"/>
      <c r="H199" s="51"/>
      <c r="I199" s="50" t="s">
        <v>268</v>
      </c>
      <c r="J199" s="58" t="s">
        <v>502</v>
      </c>
      <c r="K199" s="52" t="s">
        <v>510</v>
      </c>
      <c r="L199" s="59">
        <v>41852</v>
      </c>
      <c r="M199" s="60" t="s">
        <v>2773</v>
      </c>
      <c r="N199" s="51">
        <v>1966681.97</v>
      </c>
      <c r="O199" s="59">
        <v>42061</v>
      </c>
      <c r="P199" s="59" t="s">
        <v>2835</v>
      </c>
      <c r="Q199" s="51">
        <v>124881.63</v>
      </c>
      <c r="R199" s="51">
        <f>N199+Q199</f>
        <v>2091563.6</v>
      </c>
      <c r="S199" s="51">
        <v>0</v>
      </c>
      <c r="T199" s="52">
        <v>449051</v>
      </c>
      <c r="U199" s="51">
        <v>1654587.97</v>
      </c>
      <c r="V199" s="51">
        <v>394101.76000000001</v>
      </c>
      <c r="W199" s="51">
        <v>394101.76000000001</v>
      </c>
      <c r="X199" s="51">
        <v>1594851.48</v>
      </c>
      <c r="Y199" s="19" t="s">
        <v>576</v>
      </c>
      <c r="Z199" s="19"/>
      <c r="AA199" s="28" t="s">
        <v>8513</v>
      </c>
      <c r="AB199" s="56">
        <v>43398</v>
      </c>
      <c r="AC199" s="28" t="s">
        <v>7268</v>
      </c>
      <c r="AD199" s="28" t="s">
        <v>7269</v>
      </c>
      <c r="AE199" s="54" t="s">
        <v>7275</v>
      </c>
      <c r="AF199" s="54"/>
      <c r="AG199" s="54" t="s">
        <v>7276</v>
      </c>
      <c r="AH199" s="53" t="s">
        <v>1591</v>
      </c>
      <c r="AI199" s="53" t="s">
        <v>2686</v>
      </c>
      <c r="AJ199" s="53" t="s">
        <v>1591</v>
      </c>
    </row>
    <row r="200" spans="1:36" s="3" customFormat="1" ht="108" x14ac:dyDescent="0.25">
      <c r="A200" s="17" t="s">
        <v>182</v>
      </c>
      <c r="B200" s="18" t="s">
        <v>501</v>
      </c>
      <c r="C200" s="76" t="s">
        <v>6223</v>
      </c>
      <c r="D200" s="45" t="s">
        <v>6118</v>
      </c>
      <c r="E200" s="78"/>
      <c r="F200" s="79"/>
      <c r="G200" s="80">
        <v>450000</v>
      </c>
      <c r="H200" s="80">
        <v>385435.29</v>
      </c>
      <c r="I200" s="78" t="s">
        <v>239</v>
      </c>
      <c r="J200" s="79" t="s">
        <v>511</v>
      </c>
      <c r="K200" s="81" t="s">
        <v>6224</v>
      </c>
      <c r="L200" s="82"/>
      <c r="M200" s="83"/>
      <c r="N200" s="80">
        <v>835435.29</v>
      </c>
      <c r="O200" s="82"/>
      <c r="P200" s="84"/>
      <c r="Q200" s="80">
        <v>0</v>
      </c>
      <c r="R200" s="80">
        <v>835435.29</v>
      </c>
      <c r="S200" s="80"/>
      <c r="T200" s="81"/>
      <c r="U200" s="80"/>
      <c r="V200" s="80"/>
      <c r="W200" s="80"/>
      <c r="X200" s="80"/>
      <c r="Y200" s="76" t="s">
        <v>503</v>
      </c>
      <c r="Z200" s="19" t="s">
        <v>7038</v>
      </c>
      <c r="AA200" s="28" t="s">
        <v>8513</v>
      </c>
      <c r="AB200" s="56">
        <v>43398</v>
      </c>
      <c r="AC200" s="28" t="s">
        <v>7268</v>
      </c>
      <c r="AD200" s="28" t="s">
        <v>7269</v>
      </c>
      <c r="AE200" s="54" t="s">
        <v>7277</v>
      </c>
      <c r="AF200" s="54"/>
      <c r="AG200" s="54" t="s">
        <v>7278</v>
      </c>
      <c r="AH200" s="53" t="s">
        <v>1591</v>
      </c>
      <c r="AI200" s="53" t="s">
        <v>2686</v>
      </c>
      <c r="AJ200" s="53" t="s">
        <v>1591</v>
      </c>
    </row>
    <row r="201" spans="1:36" s="3" customFormat="1" ht="36" x14ac:dyDescent="0.25">
      <c r="A201" s="17" t="s">
        <v>182</v>
      </c>
      <c r="B201" s="18" t="s">
        <v>2526</v>
      </c>
      <c r="C201" s="19" t="s">
        <v>2527</v>
      </c>
      <c r="D201" s="45" t="s">
        <v>2528</v>
      </c>
      <c r="E201" s="50" t="s">
        <v>46</v>
      </c>
      <c r="F201" s="58" t="s">
        <v>46</v>
      </c>
      <c r="G201" s="51" t="s">
        <v>46</v>
      </c>
      <c r="H201" s="51" t="s">
        <v>46</v>
      </c>
      <c r="I201" s="50" t="s">
        <v>2529</v>
      </c>
      <c r="J201" s="58" t="s">
        <v>2530</v>
      </c>
      <c r="K201" s="52" t="s">
        <v>49</v>
      </c>
      <c r="L201" s="59">
        <v>41501</v>
      </c>
      <c r="M201" s="60">
        <f>L201+365</f>
        <v>41866</v>
      </c>
      <c r="N201" s="51">
        <v>142312030.77000001</v>
      </c>
      <c r="O201" s="59">
        <v>42211</v>
      </c>
      <c r="P201" s="59">
        <f>M201+345</f>
        <v>42211</v>
      </c>
      <c r="Q201" s="51">
        <v>15325368.01</v>
      </c>
      <c r="R201" s="51">
        <f>N201+Q201</f>
        <v>157637398.78</v>
      </c>
      <c r="S201" s="51">
        <v>5271632.41</v>
      </c>
      <c r="T201" s="52" t="s">
        <v>52</v>
      </c>
      <c r="U201" s="51">
        <v>0</v>
      </c>
      <c r="V201" s="51">
        <v>0</v>
      </c>
      <c r="W201" s="51">
        <v>0</v>
      </c>
      <c r="X201" s="51">
        <v>153350230.22</v>
      </c>
      <c r="Y201" s="19" t="s">
        <v>2531</v>
      </c>
      <c r="Z201" s="19"/>
      <c r="AA201" s="28" t="s">
        <v>8513</v>
      </c>
      <c r="AB201" s="56">
        <v>43398</v>
      </c>
      <c r="AC201" s="28" t="s">
        <v>7268</v>
      </c>
      <c r="AD201" s="28" t="s">
        <v>7269</v>
      </c>
      <c r="AE201" s="54" t="s">
        <v>7272</v>
      </c>
      <c r="AF201" s="54"/>
      <c r="AG201" s="54"/>
      <c r="AH201" s="53"/>
      <c r="AI201" s="53" t="s">
        <v>1591</v>
      </c>
      <c r="AJ201" s="53" t="s">
        <v>1591</v>
      </c>
    </row>
    <row r="202" spans="1:36" s="3" customFormat="1" ht="72" x14ac:dyDescent="0.25">
      <c r="A202" s="17" t="s">
        <v>182</v>
      </c>
      <c r="B202" s="18" t="s">
        <v>2526</v>
      </c>
      <c r="C202" s="19" t="s">
        <v>2533</v>
      </c>
      <c r="D202" s="45" t="s">
        <v>3959</v>
      </c>
      <c r="E202" s="50" t="s">
        <v>2534</v>
      </c>
      <c r="F202" s="58" t="s">
        <v>2515</v>
      </c>
      <c r="G202" s="51">
        <v>27074460.579999998</v>
      </c>
      <c r="H202" s="51">
        <v>3008273.4</v>
      </c>
      <c r="I202" s="50" t="s">
        <v>299</v>
      </c>
      <c r="J202" s="58" t="s">
        <v>2532</v>
      </c>
      <c r="K202" s="52" t="s">
        <v>49</v>
      </c>
      <c r="L202" s="59">
        <v>41438</v>
      </c>
      <c r="M202" s="60">
        <f>L202+365</f>
        <v>41803</v>
      </c>
      <c r="N202" s="51">
        <v>3501084.24</v>
      </c>
      <c r="O202" s="59">
        <v>42035</v>
      </c>
      <c r="P202" s="59">
        <f>M202+232</f>
        <v>42035</v>
      </c>
      <c r="Q202" s="51"/>
      <c r="R202" s="51">
        <f>N202+Q202</f>
        <v>3501084.24</v>
      </c>
      <c r="S202" s="51">
        <v>118290.47</v>
      </c>
      <c r="T202" s="52" t="s">
        <v>52</v>
      </c>
      <c r="U202" s="51">
        <v>0</v>
      </c>
      <c r="V202" s="51">
        <v>0</v>
      </c>
      <c r="W202" s="51">
        <v>0</v>
      </c>
      <c r="X202" s="51">
        <v>3607785.91</v>
      </c>
      <c r="Y202" s="19" t="s">
        <v>4259</v>
      </c>
      <c r="Z202" s="19"/>
      <c r="AA202" s="28" t="s">
        <v>8513</v>
      </c>
      <c r="AB202" s="56">
        <v>43398</v>
      </c>
      <c r="AC202" s="28" t="s">
        <v>7268</v>
      </c>
      <c r="AD202" s="28" t="s">
        <v>7269</v>
      </c>
      <c r="AE202" s="54" t="s">
        <v>7272</v>
      </c>
      <c r="AF202" s="54"/>
      <c r="AG202" s="54"/>
      <c r="AH202" s="53" t="s">
        <v>1591</v>
      </c>
      <c r="AI202" s="53" t="s">
        <v>2686</v>
      </c>
      <c r="AJ202" s="53" t="s">
        <v>1591</v>
      </c>
    </row>
    <row r="203" spans="1:36" s="3" customFormat="1" ht="60" x14ac:dyDescent="0.25">
      <c r="A203" s="17" t="s">
        <v>182</v>
      </c>
      <c r="B203" s="18" t="s">
        <v>512</v>
      </c>
      <c r="C203" s="19" t="s">
        <v>3969</v>
      </c>
      <c r="D203" s="45" t="s">
        <v>3970</v>
      </c>
      <c r="E203" s="50" t="s">
        <v>523</v>
      </c>
      <c r="F203" s="58" t="s">
        <v>43</v>
      </c>
      <c r="G203" s="51">
        <v>7524037.2700000005</v>
      </c>
      <c r="H203" s="51">
        <v>0</v>
      </c>
      <c r="I203" s="50" t="s">
        <v>524</v>
      </c>
      <c r="J203" s="58" t="s">
        <v>4122</v>
      </c>
      <c r="K203" s="52" t="s">
        <v>4123</v>
      </c>
      <c r="L203" s="59">
        <v>41527</v>
      </c>
      <c r="M203" s="60">
        <f>L203+480</f>
        <v>42007</v>
      </c>
      <c r="N203" s="51">
        <v>8892080.3000000007</v>
      </c>
      <c r="O203" s="59">
        <v>42848</v>
      </c>
      <c r="P203" s="59">
        <f>M203+908</f>
        <v>42915</v>
      </c>
      <c r="Q203" s="51">
        <v>1750332.1</v>
      </c>
      <c r="R203" s="51">
        <f>N203+Q203</f>
        <v>10642412.4</v>
      </c>
      <c r="S203" s="51">
        <v>436802.59</v>
      </c>
      <c r="T203" s="52" t="s">
        <v>515</v>
      </c>
      <c r="U203" s="51">
        <v>9714215.6799999997</v>
      </c>
      <c r="V203" s="51">
        <v>890578.77</v>
      </c>
      <c r="W203" s="51">
        <v>890578.77</v>
      </c>
      <c r="X203" s="51">
        <v>9051692.1600000001</v>
      </c>
      <c r="Y203" s="19" t="s">
        <v>4262</v>
      </c>
      <c r="Z203" s="19"/>
      <c r="AA203" s="28"/>
      <c r="AB203" s="56"/>
      <c r="AC203" s="28"/>
      <c r="AD203" s="28"/>
      <c r="AE203" s="54"/>
      <c r="AF203" s="54"/>
      <c r="AG203" s="54"/>
      <c r="AH203" s="53"/>
      <c r="AI203" s="53" t="s">
        <v>1591</v>
      </c>
      <c r="AJ203" s="53" t="s">
        <v>1591</v>
      </c>
    </row>
    <row r="204" spans="1:36" s="3" customFormat="1" ht="36" x14ac:dyDescent="0.25">
      <c r="A204" s="17" t="s">
        <v>182</v>
      </c>
      <c r="B204" s="18" t="s">
        <v>512</v>
      </c>
      <c r="C204" s="76" t="s">
        <v>6232</v>
      </c>
      <c r="D204" s="45" t="s">
        <v>6233</v>
      </c>
      <c r="E204" s="78" t="s">
        <v>523</v>
      </c>
      <c r="F204" s="79" t="s">
        <v>6226</v>
      </c>
      <c r="G204" s="80">
        <v>2257211.19</v>
      </c>
      <c r="H204" s="80" t="s">
        <v>6225</v>
      </c>
      <c r="I204" s="78" t="s">
        <v>5966</v>
      </c>
      <c r="J204" s="79" t="s">
        <v>6230</v>
      </c>
      <c r="K204" s="81" t="s">
        <v>6234</v>
      </c>
      <c r="L204" s="82">
        <v>41430</v>
      </c>
      <c r="M204" s="83">
        <v>41790</v>
      </c>
      <c r="N204" s="80">
        <v>8871317.9100000001</v>
      </c>
      <c r="O204" s="82"/>
      <c r="P204" s="84">
        <v>639</v>
      </c>
      <c r="Q204" s="80">
        <v>1277766.9000000004</v>
      </c>
      <c r="R204" s="80">
        <v>10149084.810000001</v>
      </c>
      <c r="S204" s="80"/>
      <c r="T204" s="81" t="s">
        <v>6227</v>
      </c>
      <c r="U204" s="80"/>
      <c r="V204" s="80"/>
      <c r="W204" s="80"/>
      <c r="X204" s="80">
        <v>7195890.3099999996</v>
      </c>
      <c r="Y204" s="76" t="s">
        <v>186</v>
      </c>
      <c r="Z204" s="19" t="s">
        <v>7038</v>
      </c>
      <c r="AA204" s="28"/>
      <c r="AB204" s="56"/>
      <c r="AC204" s="28"/>
      <c r="AD204" s="28"/>
      <c r="AE204" s="54"/>
      <c r="AF204" s="54"/>
      <c r="AG204" s="54"/>
      <c r="AH204" s="53"/>
      <c r="AI204" s="53" t="s">
        <v>1591</v>
      </c>
      <c r="AJ204" s="53" t="s">
        <v>1591</v>
      </c>
    </row>
    <row r="205" spans="1:36" s="3" customFormat="1" ht="36" x14ac:dyDescent="0.25">
      <c r="A205" s="35" t="s">
        <v>2685</v>
      </c>
      <c r="B205" s="34" t="s">
        <v>2688</v>
      </c>
      <c r="C205" s="76"/>
      <c r="D205" s="43" t="s">
        <v>6236</v>
      </c>
      <c r="E205" s="78"/>
      <c r="F205" s="36"/>
      <c r="G205" s="80"/>
      <c r="H205" s="80"/>
      <c r="I205" s="36" t="s">
        <v>6237</v>
      </c>
      <c r="J205" s="34" t="s">
        <v>470</v>
      </c>
      <c r="K205" s="37" t="s">
        <v>6238</v>
      </c>
      <c r="L205" s="38">
        <v>41393</v>
      </c>
      <c r="M205" s="39">
        <v>41663</v>
      </c>
      <c r="N205" s="42">
        <v>6070824.0099999998</v>
      </c>
      <c r="O205" s="85"/>
      <c r="P205" s="86"/>
      <c r="Q205" s="41">
        <v>803927.75999999978</v>
      </c>
      <c r="R205" s="41">
        <v>6874751.7699999996</v>
      </c>
      <c r="S205" s="80"/>
      <c r="T205" s="81"/>
      <c r="U205" s="80"/>
      <c r="V205" s="80"/>
      <c r="W205" s="42"/>
      <c r="X205" s="42">
        <v>6268908.7699999996</v>
      </c>
      <c r="Y205" s="34" t="s">
        <v>4321</v>
      </c>
      <c r="Z205" s="19" t="s">
        <v>7038</v>
      </c>
      <c r="AA205" s="28"/>
      <c r="AB205" s="56"/>
      <c r="AC205" s="28"/>
      <c r="AD205" s="28"/>
      <c r="AE205" s="54"/>
      <c r="AF205" s="54"/>
      <c r="AG205" s="54"/>
      <c r="AH205" s="53"/>
      <c r="AI205" s="53" t="s">
        <v>1591</v>
      </c>
      <c r="AJ205" s="53" t="s">
        <v>1591</v>
      </c>
    </row>
    <row r="206" spans="1:36" s="3" customFormat="1" ht="36" x14ac:dyDescent="0.25">
      <c r="A206" s="17" t="s">
        <v>182</v>
      </c>
      <c r="B206" s="18" t="s">
        <v>512</v>
      </c>
      <c r="C206" s="76" t="s">
        <v>6228</v>
      </c>
      <c r="D206" s="45" t="s">
        <v>6229</v>
      </c>
      <c r="E206" s="78"/>
      <c r="F206" s="79"/>
      <c r="G206" s="80"/>
      <c r="H206" s="80"/>
      <c r="I206" s="78"/>
      <c r="J206" s="79" t="s">
        <v>6235</v>
      </c>
      <c r="K206" s="81" t="s">
        <v>6239</v>
      </c>
      <c r="L206" s="82">
        <v>42368</v>
      </c>
      <c r="M206" s="83">
        <v>42728</v>
      </c>
      <c r="N206" s="80">
        <v>4537468.59</v>
      </c>
      <c r="O206" s="82"/>
      <c r="P206" s="84"/>
      <c r="Q206" s="80">
        <v>0</v>
      </c>
      <c r="R206" s="80">
        <v>4537468.59</v>
      </c>
      <c r="S206" s="80"/>
      <c r="T206" s="81" t="s">
        <v>6227</v>
      </c>
      <c r="U206" s="80">
        <v>108693.79</v>
      </c>
      <c r="V206" s="80"/>
      <c r="W206" s="80"/>
      <c r="X206" s="80">
        <v>108693.79</v>
      </c>
      <c r="Y206" s="76" t="s">
        <v>186</v>
      </c>
      <c r="Z206" s="19" t="s">
        <v>7038</v>
      </c>
      <c r="AA206" s="28"/>
      <c r="AB206" s="56"/>
      <c r="AC206" s="28"/>
      <c r="AD206" s="28"/>
      <c r="AE206" s="54"/>
      <c r="AF206" s="54"/>
      <c r="AG206" s="54"/>
      <c r="AH206" s="53"/>
      <c r="AI206" s="53" t="s">
        <v>1591</v>
      </c>
      <c r="AJ206" s="53" t="s">
        <v>1591</v>
      </c>
    </row>
    <row r="207" spans="1:36" s="3" customFormat="1" ht="48" x14ac:dyDescent="0.25">
      <c r="A207" s="17" t="s">
        <v>182</v>
      </c>
      <c r="B207" s="18" t="s">
        <v>512</v>
      </c>
      <c r="C207" s="19" t="s">
        <v>3974</v>
      </c>
      <c r="D207" s="45" t="s">
        <v>3978</v>
      </c>
      <c r="E207" s="50" t="s">
        <v>4125</v>
      </c>
      <c r="F207" s="58" t="s">
        <v>43</v>
      </c>
      <c r="G207" s="51"/>
      <c r="H207" s="51"/>
      <c r="I207" s="50" t="s">
        <v>481</v>
      </c>
      <c r="J207" s="58" t="s">
        <v>4129</v>
      </c>
      <c r="K207" s="52" t="s">
        <v>4130</v>
      </c>
      <c r="L207" s="59">
        <v>42292</v>
      </c>
      <c r="M207" s="60">
        <f>L207+480</f>
        <v>42772</v>
      </c>
      <c r="N207" s="51">
        <v>3935501.91</v>
      </c>
      <c r="O207" s="59" t="s">
        <v>4264</v>
      </c>
      <c r="P207" s="59">
        <f>M207+52</f>
        <v>42824</v>
      </c>
      <c r="Q207" s="51">
        <v>324887.98</v>
      </c>
      <c r="R207" s="51">
        <f t="shared" ref="R207:R212" si="5">N207+Q207</f>
        <v>4260389.8900000006</v>
      </c>
      <c r="S207" s="51"/>
      <c r="T207" s="52" t="s">
        <v>515</v>
      </c>
      <c r="U207" s="51">
        <v>3847765.8</v>
      </c>
      <c r="V207" s="51"/>
      <c r="W207" s="51"/>
      <c r="X207" s="51">
        <v>0</v>
      </c>
      <c r="Y207" s="19" t="s">
        <v>4263</v>
      </c>
      <c r="Z207" s="19"/>
      <c r="AA207" s="28"/>
      <c r="AB207" s="56"/>
      <c r="AC207" s="28"/>
      <c r="AD207" s="28"/>
      <c r="AE207" s="54"/>
      <c r="AF207" s="54"/>
      <c r="AG207" s="54"/>
      <c r="AH207" s="53"/>
      <c r="AI207" s="53" t="s">
        <v>1591</v>
      </c>
      <c r="AJ207" s="53" t="s">
        <v>1591</v>
      </c>
    </row>
    <row r="208" spans="1:36" s="3" customFormat="1" ht="36" x14ac:dyDescent="0.25">
      <c r="A208" s="17" t="s">
        <v>182</v>
      </c>
      <c r="B208" s="18" t="s">
        <v>512</v>
      </c>
      <c r="C208" s="19" t="s">
        <v>3965</v>
      </c>
      <c r="D208" s="45" t="s">
        <v>3966</v>
      </c>
      <c r="E208" s="50" t="s">
        <v>39</v>
      </c>
      <c r="F208" s="58" t="s">
        <v>39</v>
      </c>
      <c r="G208" s="51"/>
      <c r="H208" s="51"/>
      <c r="I208" s="50" t="s">
        <v>518</v>
      </c>
      <c r="J208" s="58" t="s">
        <v>4118</v>
      </c>
      <c r="K208" s="52" t="s">
        <v>4119</v>
      </c>
      <c r="L208" s="59">
        <v>42209</v>
      </c>
      <c r="M208" s="60">
        <f>L208+480</f>
        <v>42689</v>
      </c>
      <c r="N208" s="51">
        <v>3929117.26</v>
      </c>
      <c r="O208" s="59">
        <v>42856</v>
      </c>
      <c r="P208" s="59">
        <f>M208+168</f>
        <v>42857</v>
      </c>
      <c r="Q208" s="51"/>
      <c r="R208" s="51">
        <f t="shared" si="5"/>
        <v>3929117.26</v>
      </c>
      <c r="S208" s="51"/>
      <c r="T208" s="52" t="s">
        <v>515</v>
      </c>
      <c r="U208" s="51">
        <v>663904.73</v>
      </c>
      <c r="V208" s="51">
        <v>38497.089999999997</v>
      </c>
      <c r="W208" s="51">
        <v>38497.089999999997</v>
      </c>
      <c r="X208" s="51">
        <v>663904.73</v>
      </c>
      <c r="Y208" s="19" t="s">
        <v>725</v>
      </c>
      <c r="Z208" s="19"/>
      <c r="AA208" s="28"/>
      <c r="AB208" s="56"/>
      <c r="AC208" s="28"/>
      <c r="AD208" s="28"/>
      <c r="AE208" s="54"/>
      <c r="AF208" s="54"/>
      <c r="AG208" s="54"/>
      <c r="AH208" s="53"/>
      <c r="AI208" s="53" t="s">
        <v>1591</v>
      </c>
      <c r="AJ208" s="53" t="s">
        <v>1591</v>
      </c>
    </row>
    <row r="209" spans="1:36" s="3" customFormat="1" ht="36" x14ac:dyDescent="0.25">
      <c r="A209" s="17" t="s">
        <v>182</v>
      </c>
      <c r="B209" s="18" t="s">
        <v>512</v>
      </c>
      <c r="C209" s="19" t="s">
        <v>3967</v>
      </c>
      <c r="D209" s="45" t="s">
        <v>3968</v>
      </c>
      <c r="E209" s="50" t="s">
        <v>521</v>
      </c>
      <c r="F209" s="58" t="s">
        <v>43</v>
      </c>
      <c r="G209" s="51">
        <v>7448796.898</v>
      </c>
      <c r="H209" s="51">
        <v>75240.372000000003</v>
      </c>
      <c r="I209" s="50" t="s">
        <v>525</v>
      </c>
      <c r="J209" s="58" t="s">
        <v>4120</v>
      </c>
      <c r="K209" s="52" t="s">
        <v>4121</v>
      </c>
      <c r="L209" s="59">
        <v>42376</v>
      </c>
      <c r="M209" s="60">
        <f>L209+360</f>
        <v>42736</v>
      </c>
      <c r="N209" s="51">
        <v>3914293.49</v>
      </c>
      <c r="O209" s="59"/>
      <c r="P209" s="59" t="s">
        <v>46</v>
      </c>
      <c r="Q209" s="51"/>
      <c r="R209" s="51">
        <f t="shared" si="5"/>
        <v>3914293.49</v>
      </c>
      <c r="S209" s="51"/>
      <c r="T209" s="52" t="s">
        <v>515</v>
      </c>
      <c r="U209" s="51"/>
      <c r="V209" s="51"/>
      <c r="W209" s="51"/>
      <c r="X209" s="51">
        <v>0</v>
      </c>
      <c r="Y209" s="19" t="s">
        <v>725</v>
      </c>
      <c r="Z209" s="19"/>
      <c r="AA209" s="28"/>
      <c r="AB209" s="56"/>
      <c r="AC209" s="28"/>
      <c r="AD209" s="28"/>
      <c r="AE209" s="54"/>
      <c r="AF209" s="54"/>
      <c r="AG209" s="54"/>
      <c r="AH209" s="53"/>
      <c r="AI209" s="53" t="s">
        <v>1591</v>
      </c>
      <c r="AJ209" s="53" t="s">
        <v>1591</v>
      </c>
    </row>
    <row r="210" spans="1:36" s="3" customFormat="1" ht="60" x14ac:dyDescent="0.25">
      <c r="A210" s="17" t="s">
        <v>182</v>
      </c>
      <c r="B210" s="18" t="s">
        <v>512</v>
      </c>
      <c r="C210" s="19" t="s">
        <v>3975</v>
      </c>
      <c r="D210" s="45" t="s">
        <v>3976</v>
      </c>
      <c r="E210" s="50" t="s">
        <v>4125</v>
      </c>
      <c r="F210" s="58" t="s">
        <v>43</v>
      </c>
      <c r="G210" s="51"/>
      <c r="H210" s="51"/>
      <c r="I210" s="50" t="s">
        <v>539</v>
      </c>
      <c r="J210" s="58" t="s">
        <v>4126</v>
      </c>
      <c r="K210" s="52" t="s">
        <v>4127</v>
      </c>
      <c r="L210" s="59">
        <v>41921</v>
      </c>
      <c r="M210" s="60">
        <f>L210+480</f>
        <v>42401</v>
      </c>
      <c r="N210" s="51">
        <v>3419934.57</v>
      </c>
      <c r="O210" s="59">
        <v>42704</v>
      </c>
      <c r="P210" s="59">
        <f>M210+345</f>
        <v>42746</v>
      </c>
      <c r="Q210" s="51">
        <v>103037.27</v>
      </c>
      <c r="R210" s="51">
        <f t="shared" si="5"/>
        <v>3522971.84</v>
      </c>
      <c r="S210" s="51"/>
      <c r="T210" s="52" t="s">
        <v>515</v>
      </c>
      <c r="U210" s="51"/>
      <c r="V210" s="51"/>
      <c r="W210" s="51"/>
      <c r="X210" s="51">
        <v>0</v>
      </c>
      <c r="Y210" s="19" t="s">
        <v>4261</v>
      </c>
      <c r="Z210" s="19"/>
      <c r="AA210" s="28"/>
      <c r="AB210" s="56"/>
      <c r="AC210" s="28"/>
      <c r="AD210" s="28"/>
      <c r="AE210" s="54"/>
      <c r="AF210" s="54"/>
      <c r="AG210" s="54"/>
      <c r="AH210" s="53"/>
      <c r="AI210" s="53" t="s">
        <v>1591</v>
      </c>
      <c r="AJ210" s="53" t="s">
        <v>1591</v>
      </c>
    </row>
    <row r="211" spans="1:36" s="3" customFormat="1" ht="36" x14ac:dyDescent="0.25">
      <c r="A211" s="17" t="s">
        <v>182</v>
      </c>
      <c r="B211" s="18" t="s">
        <v>512</v>
      </c>
      <c r="C211" s="19" t="s">
        <v>3975</v>
      </c>
      <c r="D211" s="45" t="s">
        <v>3977</v>
      </c>
      <c r="E211" s="50" t="s">
        <v>4125</v>
      </c>
      <c r="F211" s="58" t="s">
        <v>43</v>
      </c>
      <c r="G211" s="51"/>
      <c r="H211" s="51"/>
      <c r="I211" s="50" t="s">
        <v>525</v>
      </c>
      <c r="J211" s="58" t="s">
        <v>4120</v>
      </c>
      <c r="K211" s="52" t="s">
        <v>4128</v>
      </c>
      <c r="L211" s="59">
        <v>41913</v>
      </c>
      <c r="M211" s="60">
        <f>L211+480</f>
        <v>42393</v>
      </c>
      <c r="N211" s="51">
        <v>2922155.54</v>
      </c>
      <c r="O211" s="59">
        <v>42916</v>
      </c>
      <c r="P211" s="59">
        <f>M211+642</f>
        <v>43035</v>
      </c>
      <c r="Q211" s="51">
        <v>225544.56</v>
      </c>
      <c r="R211" s="51">
        <f t="shared" si="5"/>
        <v>3147700.1</v>
      </c>
      <c r="S211" s="51"/>
      <c r="T211" s="52" t="s">
        <v>515</v>
      </c>
      <c r="U211" s="51">
        <v>2441229.11</v>
      </c>
      <c r="V211" s="51">
        <v>185409.24</v>
      </c>
      <c r="W211" s="51">
        <v>185409.24</v>
      </c>
      <c r="X211" s="51">
        <v>2441259.1100000003</v>
      </c>
      <c r="Y211" s="19" t="s">
        <v>725</v>
      </c>
      <c r="Z211" s="19"/>
      <c r="AA211" s="28"/>
      <c r="AB211" s="56"/>
      <c r="AC211" s="28"/>
      <c r="AD211" s="28"/>
      <c r="AE211" s="54"/>
      <c r="AF211" s="54"/>
      <c r="AG211" s="54"/>
      <c r="AH211" s="53"/>
      <c r="AI211" s="53" t="s">
        <v>1591</v>
      </c>
      <c r="AJ211" s="53" t="s">
        <v>1591</v>
      </c>
    </row>
    <row r="212" spans="1:36" s="3" customFormat="1" ht="36" x14ac:dyDescent="0.25">
      <c r="A212" s="17" t="s">
        <v>182</v>
      </c>
      <c r="B212" s="18" t="s">
        <v>512</v>
      </c>
      <c r="C212" s="19" t="s">
        <v>3975</v>
      </c>
      <c r="D212" s="45" t="s">
        <v>3979</v>
      </c>
      <c r="E212" s="50" t="s">
        <v>4125</v>
      </c>
      <c r="F212" s="58" t="s">
        <v>43</v>
      </c>
      <c r="G212" s="51"/>
      <c r="H212" s="51"/>
      <c r="I212" s="50" t="s">
        <v>4131</v>
      </c>
      <c r="J212" s="58" t="s">
        <v>4120</v>
      </c>
      <c r="K212" s="52" t="s">
        <v>4132</v>
      </c>
      <c r="L212" s="59">
        <v>41913</v>
      </c>
      <c r="M212" s="60">
        <f>L212+480</f>
        <v>42393</v>
      </c>
      <c r="N212" s="51">
        <v>2398635.56</v>
      </c>
      <c r="O212" s="59">
        <v>42914</v>
      </c>
      <c r="P212" s="59">
        <f>M212+642</f>
        <v>43035</v>
      </c>
      <c r="Q212" s="51">
        <v>441612.24</v>
      </c>
      <c r="R212" s="51">
        <f t="shared" si="5"/>
        <v>2840247.8</v>
      </c>
      <c r="S212" s="51"/>
      <c r="T212" s="52" t="s">
        <v>515</v>
      </c>
      <c r="U212" s="51">
        <v>1959342.16</v>
      </c>
      <c r="V212" s="51">
        <v>17853.419999999998</v>
      </c>
      <c r="W212" s="51">
        <v>17853.419999999998</v>
      </c>
      <c r="X212" s="51">
        <v>1959342.16</v>
      </c>
      <c r="Y212" s="19" t="s">
        <v>575</v>
      </c>
      <c r="Z212" s="19"/>
      <c r="AA212" s="28"/>
      <c r="AB212" s="56"/>
      <c r="AC212" s="28"/>
      <c r="AD212" s="28"/>
      <c r="AE212" s="54"/>
      <c r="AF212" s="54"/>
      <c r="AG212" s="54"/>
      <c r="AH212" s="53"/>
      <c r="AI212" s="53" t="s">
        <v>1591</v>
      </c>
      <c r="AJ212" s="53" t="s">
        <v>1591</v>
      </c>
    </row>
    <row r="213" spans="1:36" s="3" customFormat="1" ht="108" x14ac:dyDescent="0.25">
      <c r="A213" s="17" t="s">
        <v>182</v>
      </c>
      <c r="B213" s="18" t="s">
        <v>512</v>
      </c>
      <c r="C213" s="19" t="s">
        <v>3971</v>
      </c>
      <c r="D213" s="45" t="s">
        <v>3972</v>
      </c>
      <c r="E213" s="50" t="s">
        <v>527</v>
      </c>
      <c r="F213" s="58" t="s">
        <v>43</v>
      </c>
      <c r="G213" s="51">
        <v>0</v>
      </c>
      <c r="H213" s="51">
        <v>0</v>
      </c>
      <c r="I213" s="50" t="s">
        <v>528</v>
      </c>
      <c r="J213" s="58" t="s">
        <v>529</v>
      </c>
      <c r="K213" s="52" t="s">
        <v>4124</v>
      </c>
      <c r="L213" s="59">
        <v>42324</v>
      </c>
      <c r="M213" s="60">
        <f>L213+120</f>
        <v>42444</v>
      </c>
      <c r="N213" s="51">
        <v>2180812</v>
      </c>
      <c r="O213" s="59" t="s">
        <v>46</v>
      </c>
      <c r="P213" s="59">
        <f>M213+473</f>
        <v>42917</v>
      </c>
      <c r="Q213" s="51">
        <v>204334.32</v>
      </c>
      <c r="R213" s="51">
        <f>N213+Q213</f>
        <v>2385146.3199999998</v>
      </c>
      <c r="S213" s="51"/>
      <c r="T213" s="52" t="s">
        <v>515</v>
      </c>
      <c r="U213" s="51">
        <v>2236466.3199999998</v>
      </c>
      <c r="V213" s="51">
        <v>246720.57</v>
      </c>
      <c r="W213" s="51">
        <v>246720.57</v>
      </c>
      <c r="X213" s="51">
        <v>2127572.34</v>
      </c>
      <c r="Y213" s="19" t="s">
        <v>42</v>
      </c>
      <c r="Z213" s="19"/>
      <c r="AA213" s="28"/>
      <c r="AB213" s="56"/>
      <c r="AC213" s="28"/>
      <c r="AD213" s="28"/>
      <c r="AE213" s="54"/>
      <c r="AF213" s="54"/>
      <c r="AG213" s="54"/>
      <c r="AH213" s="53"/>
      <c r="AI213" s="53" t="s">
        <v>1591</v>
      </c>
      <c r="AJ213" s="53" t="s">
        <v>1591</v>
      </c>
    </row>
    <row r="214" spans="1:36" s="3" customFormat="1" ht="60" x14ac:dyDescent="0.25">
      <c r="A214" s="17" t="s">
        <v>182</v>
      </c>
      <c r="B214" s="18" t="s">
        <v>512</v>
      </c>
      <c r="C214" s="19" t="s">
        <v>3975</v>
      </c>
      <c r="D214" s="45" t="s">
        <v>3981</v>
      </c>
      <c r="E214" s="50" t="s">
        <v>4125</v>
      </c>
      <c r="F214" s="58" t="s">
        <v>43</v>
      </c>
      <c r="G214" s="51"/>
      <c r="H214" s="51"/>
      <c r="I214" s="50" t="s">
        <v>4134</v>
      </c>
      <c r="J214" s="58" t="s">
        <v>4126</v>
      </c>
      <c r="K214" s="52" t="s">
        <v>4135</v>
      </c>
      <c r="L214" s="59">
        <v>41921</v>
      </c>
      <c r="M214" s="60">
        <f>L214+480</f>
        <v>42401</v>
      </c>
      <c r="N214" s="51">
        <v>2162559.84</v>
      </c>
      <c r="O214" s="59">
        <v>42537</v>
      </c>
      <c r="P214" s="59">
        <f>M214+363</f>
        <v>42764</v>
      </c>
      <c r="Q214" s="51"/>
      <c r="R214" s="51">
        <f>N214+Q214</f>
        <v>2162559.84</v>
      </c>
      <c r="S214" s="51"/>
      <c r="T214" s="52" t="s">
        <v>515</v>
      </c>
      <c r="U214" s="51"/>
      <c r="V214" s="51"/>
      <c r="W214" s="51"/>
      <c r="X214" s="51">
        <v>0</v>
      </c>
      <c r="Y214" s="19" t="s">
        <v>4261</v>
      </c>
      <c r="Z214" s="19"/>
      <c r="AA214" s="28"/>
      <c r="AB214" s="56"/>
      <c r="AC214" s="28"/>
      <c r="AD214" s="28"/>
      <c r="AE214" s="54"/>
      <c r="AF214" s="54"/>
      <c r="AG214" s="54"/>
      <c r="AH214" s="53"/>
      <c r="AI214" s="53" t="s">
        <v>1591</v>
      </c>
      <c r="AJ214" s="53" t="s">
        <v>1591</v>
      </c>
    </row>
    <row r="215" spans="1:36" s="3" customFormat="1" ht="60" x14ac:dyDescent="0.25">
      <c r="A215" s="17" t="s">
        <v>182</v>
      </c>
      <c r="B215" s="18" t="s">
        <v>512</v>
      </c>
      <c r="C215" s="19" t="s">
        <v>3973</v>
      </c>
      <c r="D215" s="45" t="s">
        <v>3980</v>
      </c>
      <c r="E215" s="50" t="s">
        <v>4125</v>
      </c>
      <c r="F215" s="58" t="s">
        <v>43</v>
      </c>
      <c r="G215" s="51"/>
      <c r="H215" s="51"/>
      <c r="I215" s="50" t="s">
        <v>247</v>
      </c>
      <c r="J215" s="58" t="s">
        <v>2836</v>
      </c>
      <c r="K215" s="52" t="s">
        <v>4133</v>
      </c>
      <c r="L215" s="59">
        <v>42009</v>
      </c>
      <c r="M215" s="60">
        <f>L215+210</f>
        <v>42219</v>
      </c>
      <c r="N215" s="51">
        <v>1280022.03</v>
      </c>
      <c r="O215" s="59" t="s">
        <v>4265</v>
      </c>
      <c r="P215" s="59">
        <f>M215+513</f>
        <v>42732</v>
      </c>
      <c r="Q215" s="51"/>
      <c r="R215" s="51">
        <f>N215+Q215</f>
        <v>1280022.03</v>
      </c>
      <c r="S215" s="51">
        <v>124600.12</v>
      </c>
      <c r="T215" s="52" t="s">
        <v>515</v>
      </c>
      <c r="U215" s="51">
        <v>1279077.72</v>
      </c>
      <c r="V215" s="51"/>
      <c r="W215" s="51"/>
      <c r="X215" s="51">
        <v>0</v>
      </c>
      <c r="Y215" s="19" t="s">
        <v>4261</v>
      </c>
      <c r="Z215" s="19"/>
      <c r="AA215" s="28"/>
      <c r="AB215" s="56"/>
      <c r="AC215" s="28"/>
      <c r="AD215" s="28"/>
      <c r="AE215" s="54"/>
      <c r="AF215" s="54"/>
      <c r="AG215" s="54"/>
      <c r="AH215" s="53"/>
      <c r="AI215" s="53" t="s">
        <v>1591</v>
      </c>
      <c r="AJ215" s="53" t="s">
        <v>1591</v>
      </c>
    </row>
    <row r="216" spans="1:36" s="3" customFormat="1" ht="60" x14ac:dyDescent="0.25">
      <c r="A216" s="17" t="s">
        <v>182</v>
      </c>
      <c r="B216" s="18" t="s">
        <v>512</v>
      </c>
      <c r="C216" s="19" t="s">
        <v>3982</v>
      </c>
      <c r="D216" s="45" t="s">
        <v>3983</v>
      </c>
      <c r="E216" s="50" t="s">
        <v>1591</v>
      </c>
      <c r="F216" s="58" t="s">
        <v>1591</v>
      </c>
      <c r="G216" s="51"/>
      <c r="H216" s="51"/>
      <c r="I216" s="50" t="s">
        <v>1574</v>
      </c>
      <c r="J216" s="58" t="s">
        <v>4136</v>
      </c>
      <c r="K216" s="52" t="s">
        <v>4137</v>
      </c>
      <c r="L216" s="59">
        <v>42536</v>
      </c>
      <c r="M216" s="60">
        <f>L216+180</f>
        <v>42716</v>
      </c>
      <c r="N216" s="51">
        <v>960718.38</v>
      </c>
      <c r="O216" s="59" t="s">
        <v>4266</v>
      </c>
      <c r="P216" s="59">
        <f>M216+150</f>
        <v>42866</v>
      </c>
      <c r="Q216" s="51">
        <v>20109.810000000001</v>
      </c>
      <c r="R216" s="51">
        <f>N216+Q216</f>
        <v>980828.19000000006</v>
      </c>
      <c r="S216" s="51"/>
      <c r="T216" s="52" t="s">
        <v>534</v>
      </c>
      <c r="U216" s="51">
        <v>956841.92</v>
      </c>
      <c r="V216" s="51">
        <v>45698.17</v>
      </c>
      <c r="W216" s="51">
        <v>45698.17</v>
      </c>
      <c r="X216" s="51">
        <v>45698.17</v>
      </c>
      <c r="Y216" s="19" t="s">
        <v>4263</v>
      </c>
      <c r="Z216" s="19"/>
      <c r="AA216" s="28"/>
      <c r="AB216" s="56"/>
      <c r="AC216" s="28"/>
      <c r="AD216" s="28"/>
      <c r="AE216" s="54"/>
      <c r="AF216" s="54"/>
      <c r="AG216" s="54"/>
      <c r="AH216" s="53"/>
      <c r="AI216" s="53" t="s">
        <v>1591</v>
      </c>
      <c r="AJ216" s="53" t="s">
        <v>1591</v>
      </c>
    </row>
    <row r="217" spans="1:36" s="3" customFormat="1" ht="36" x14ac:dyDescent="0.25">
      <c r="A217" s="35" t="s">
        <v>2685</v>
      </c>
      <c r="B217" s="34" t="s">
        <v>2688</v>
      </c>
      <c r="C217" s="76"/>
      <c r="D217" s="43" t="s">
        <v>6241</v>
      </c>
      <c r="E217" s="78"/>
      <c r="F217" s="36" t="s">
        <v>43</v>
      </c>
      <c r="G217" s="80"/>
      <c r="H217" s="80"/>
      <c r="I217" s="36" t="s">
        <v>6242</v>
      </c>
      <c r="J217" s="34" t="s">
        <v>6243</v>
      </c>
      <c r="K217" s="37" t="s">
        <v>6244</v>
      </c>
      <c r="L217" s="38">
        <v>41521</v>
      </c>
      <c r="M217" s="39">
        <v>41641</v>
      </c>
      <c r="N217" s="42">
        <v>632857.59999999998</v>
      </c>
      <c r="O217" s="85">
        <v>41858</v>
      </c>
      <c r="P217" s="86">
        <v>41858</v>
      </c>
      <c r="Q217" s="41"/>
      <c r="R217" s="41">
        <v>632857.59999999998</v>
      </c>
      <c r="S217" s="80"/>
      <c r="T217" s="81"/>
      <c r="U217" s="80"/>
      <c r="V217" s="80"/>
      <c r="W217" s="42"/>
      <c r="X217" s="42">
        <v>186004.88</v>
      </c>
      <c r="Y217" s="34" t="s">
        <v>4321</v>
      </c>
      <c r="Z217" s="19" t="s">
        <v>7038</v>
      </c>
      <c r="AA217" s="28"/>
      <c r="AB217" s="56"/>
      <c r="AC217" s="28"/>
      <c r="AD217" s="28"/>
      <c r="AE217" s="54"/>
      <c r="AF217" s="54"/>
      <c r="AG217" s="54"/>
      <c r="AH217" s="53"/>
      <c r="AI217" s="53" t="s">
        <v>1591</v>
      </c>
      <c r="AJ217" s="53" t="s">
        <v>1591</v>
      </c>
    </row>
    <row r="218" spans="1:36" s="3" customFormat="1" ht="36" x14ac:dyDescent="0.25">
      <c r="A218" s="17" t="s">
        <v>182</v>
      </c>
      <c r="B218" s="18" t="s">
        <v>512</v>
      </c>
      <c r="C218" s="76" t="s">
        <v>6240</v>
      </c>
      <c r="D218" s="77" t="s">
        <v>6245</v>
      </c>
      <c r="E218" s="78" t="s">
        <v>513</v>
      </c>
      <c r="F218" s="79" t="s">
        <v>43</v>
      </c>
      <c r="G218" s="80" t="s">
        <v>6225</v>
      </c>
      <c r="H218" s="80">
        <v>0</v>
      </c>
      <c r="I218" s="78" t="s">
        <v>514</v>
      </c>
      <c r="J218" s="79" t="s">
        <v>6246</v>
      </c>
      <c r="K218" s="81" t="s">
        <v>6247</v>
      </c>
      <c r="L218" s="82">
        <v>42081</v>
      </c>
      <c r="M218" s="83">
        <v>42201</v>
      </c>
      <c r="N218" s="80">
        <v>369213.94</v>
      </c>
      <c r="O218" s="82">
        <v>42354</v>
      </c>
      <c r="P218" s="84">
        <v>150</v>
      </c>
      <c r="Q218" s="80">
        <v>0</v>
      </c>
      <c r="R218" s="80">
        <v>369213.94</v>
      </c>
      <c r="S218" s="80"/>
      <c r="T218" s="81" t="s">
        <v>515</v>
      </c>
      <c r="U218" s="80"/>
      <c r="V218" s="80"/>
      <c r="W218" s="80"/>
      <c r="X218" s="80">
        <v>246907.67</v>
      </c>
      <c r="Y218" s="76" t="s">
        <v>6231</v>
      </c>
      <c r="Z218" s="19" t="s">
        <v>7038</v>
      </c>
      <c r="AA218" s="28"/>
      <c r="AB218" s="56"/>
      <c r="AC218" s="28"/>
      <c r="AD218" s="28"/>
      <c r="AE218" s="54"/>
      <c r="AF218" s="54"/>
      <c r="AG218" s="54"/>
      <c r="AH218" s="53"/>
      <c r="AI218" s="53" t="s">
        <v>1591</v>
      </c>
      <c r="AJ218" s="53" t="s">
        <v>1591</v>
      </c>
    </row>
    <row r="219" spans="1:36" s="3" customFormat="1" ht="36" x14ac:dyDescent="0.25">
      <c r="A219" s="17" t="s">
        <v>182</v>
      </c>
      <c r="B219" s="18" t="s">
        <v>512</v>
      </c>
      <c r="C219" s="19" t="s">
        <v>3963</v>
      </c>
      <c r="D219" s="45" t="s">
        <v>3964</v>
      </c>
      <c r="E219" s="50" t="s">
        <v>1591</v>
      </c>
      <c r="F219" s="58" t="s">
        <v>1591</v>
      </c>
      <c r="G219" s="51"/>
      <c r="H219" s="51"/>
      <c r="I219" s="50" t="s">
        <v>2445</v>
      </c>
      <c r="J219" s="58" t="s">
        <v>4116</v>
      </c>
      <c r="K219" s="52" t="s">
        <v>4117</v>
      </c>
      <c r="L219" s="59">
        <v>42527</v>
      </c>
      <c r="M219" s="60">
        <f>L219+120</f>
        <v>42647</v>
      </c>
      <c r="N219" s="51">
        <v>58000</v>
      </c>
      <c r="O219" s="59" t="s">
        <v>46</v>
      </c>
      <c r="P219" s="59"/>
      <c r="Q219" s="51"/>
      <c r="R219" s="51">
        <f t="shared" ref="R219:R235" si="6">N219+Q219</f>
        <v>58000</v>
      </c>
      <c r="S219" s="51"/>
      <c r="T219" s="52" t="s">
        <v>515</v>
      </c>
      <c r="U219" s="51">
        <v>58000</v>
      </c>
      <c r="V219" s="51">
        <v>0</v>
      </c>
      <c r="W219" s="51">
        <v>0</v>
      </c>
      <c r="X219" s="51">
        <v>0</v>
      </c>
      <c r="Y219" s="19" t="s">
        <v>42</v>
      </c>
      <c r="Z219" s="19"/>
      <c r="AA219" s="28"/>
      <c r="AB219" s="56"/>
      <c r="AC219" s="28"/>
      <c r="AD219" s="28"/>
      <c r="AE219" s="54"/>
      <c r="AF219" s="54"/>
      <c r="AG219" s="54"/>
      <c r="AH219" s="53"/>
      <c r="AI219" s="53" t="s">
        <v>1591</v>
      </c>
      <c r="AJ219" s="53" t="s">
        <v>1591</v>
      </c>
    </row>
    <row r="220" spans="1:36" s="3" customFormat="1" ht="24" x14ac:dyDescent="0.25">
      <c r="A220" s="17" t="s">
        <v>182</v>
      </c>
      <c r="B220" s="18" t="s">
        <v>2517</v>
      </c>
      <c r="C220" s="19" t="s">
        <v>460</v>
      </c>
      <c r="D220" s="45" t="s">
        <v>461</v>
      </c>
      <c r="E220" s="50" t="s">
        <v>462</v>
      </c>
      <c r="F220" s="58" t="s">
        <v>451</v>
      </c>
      <c r="G220" s="51">
        <v>11640000</v>
      </c>
      <c r="H220" s="51">
        <v>4995417.42</v>
      </c>
      <c r="I220" s="50" t="s">
        <v>253</v>
      </c>
      <c r="J220" s="58" t="s">
        <v>463</v>
      </c>
      <c r="K220" s="52" t="s">
        <v>464</v>
      </c>
      <c r="L220" s="59">
        <v>41796</v>
      </c>
      <c r="M220" s="60">
        <f>L220+360</f>
        <v>42156</v>
      </c>
      <c r="N220" s="51">
        <v>16635417.42</v>
      </c>
      <c r="O220" s="59">
        <v>42962</v>
      </c>
      <c r="P220" s="59">
        <f>M220+467</f>
        <v>42623</v>
      </c>
      <c r="Q220" s="51">
        <v>790720.01</v>
      </c>
      <c r="R220" s="51">
        <f t="shared" si="6"/>
        <v>17426137.43</v>
      </c>
      <c r="S220" s="51"/>
      <c r="T220" s="52" t="s">
        <v>455</v>
      </c>
      <c r="U220" s="51">
        <v>2198467.59</v>
      </c>
      <c r="V220" s="51">
        <v>2172516.38</v>
      </c>
      <c r="W220" s="51">
        <v>2172516.38</v>
      </c>
      <c r="X220" s="51">
        <v>3512943.46</v>
      </c>
      <c r="Y220" s="19" t="s">
        <v>175</v>
      </c>
      <c r="Z220" s="19"/>
      <c r="AA220" s="28"/>
      <c r="AB220" s="56"/>
      <c r="AC220" s="28"/>
      <c r="AD220" s="28"/>
      <c r="AE220" s="54"/>
      <c r="AF220" s="54"/>
      <c r="AG220" s="54"/>
      <c r="AH220" s="53"/>
      <c r="AI220" s="53" t="s">
        <v>1591</v>
      </c>
      <c r="AJ220" s="53" t="s">
        <v>1591</v>
      </c>
    </row>
    <row r="221" spans="1:36" s="3" customFormat="1" ht="24" x14ac:dyDescent="0.25">
      <c r="A221" s="17" t="s">
        <v>182</v>
      </c>
      <c r="B221" s="18" t="s">
        <v>2517</v>
      </c>
      <c r="C221" s="19" t="s">
        <v>460</v>
      </c>
      <c r="D221" s="45" t="s">
        <v>465</v>
      </c>
      <c r="E221" s="50" t="s">
        <v>466</v>
      </c>
      <c r="F221" s="58" t="s">
        <v>451</v>
      </c>
      <c r="G221" s="51">
        <v>11640000</v>
      </c>
      <c r="H221" s="51">
        <v>5012138.63</v>
      </c>
      <c r="I221" s="50" t="s">
        <v>253</v>
      </c>
      <c r="J221" s="58" t="s">
        <v>463</v>
      </c>
      <c r="K221" s="52" t="s">
        <v>464</v>
      </c>
      <c r="L221" s="59">
        <v>41796</v>
      </c>
      <c r="M221" s="60">
        <f>L221+360</f>
        <v>42156</v>
      </c>
      <c r="N221" s="51">
        <v>16652138.630000001</v>
      </c>
      <c r="O221" s="59">
        <v>42962</v>
      </c>
      <c r="P221" s="59">
        <f>M221+467</f>
        <v>42623</v>
      </c>
      <c r="Q221" s="51">
        <v>464856.64</v>
      </c>
      <c r="R221" s="51">
        <f t="shared" si="6"/>
        <v>17116995.27</v>
      </c>
      <c r="S221" s="51"/>
      <c r="T221" s="52" t="s">
        <v>455</v>
      </c>
      <c r="U221" s="51">
        <v>2342065.46</v>
      </c>
      <c r="V221" s="51">
        <v>2318629.46</v>
      </c>
      <c r="W221" s="51">
        <v>2318629.46</v>
      </c>
      <c r="X221" s="51">
        <v>3795846.69</v>
      </c>
      <c r="Y221" s="19" t="s">
        <v>175</v>
      </c>
      <c r="Z221" s="19"/>
      <c r="AA221" s="28"/>
      <c r="AB221" s="56"/>
      <c r="AC221" s="28"/>
      <c r="AD221" s="28"/>
      <c r="AE221" s="54"/>
      <c r="AF221" s="54"/>
      <c r="AG221" s="54"/>
      <c r="AH221" s="53"/>
      <c r="AI221" s="53" t="s">
        <v>1591</v>
      </c>
      <c r="AJ221" s="53" t="s">
        <v>1591</v>
      </c>
    </row>
    <row r="222" spans="1:36" s="3" customFormat="1" ht="36" x14ac:dyDescent="0.25">
      <c r="A222" s="17" t="s">
        <v>182</v>
      </c>
      <c r="B222" s="18" t="s">
        <v>2517</v>
      </c>
      <c r="C222" s="19" t="s">
        <v>450</v>
      </c>
      <c r="D222" s="45" t="s">
        <v>456</v>
      </c>
      <c r="E222" s="50" t="s">
        <v>457</v>
      </c>
      <c r="F222" s="58" t="s">
        <v>451</v>
      </c>
      <c r="G222" s="51">
        <v>12210000</v>
      </c>
      <c r="H222" s="51">
        <v>3092169.48</v>
      </c>
      <c r="I222" s="50" t="s">
        <v>452</v>
      </c>
      <c r="J222" s="58" t="s">
        <v>453</v>
      </c>
      <c r="K222" s="52" t="s">
        <v>454</v>
      </c>
      <c r="L222" s="59">
        <v>41796</v>
      </c>
      <c r="M222" s="60">
        <f>L222+360</f>
        <v>42156</v>
      </c>
      <c r="N222" s="51">
        <v>15302169.48</v>
      </c>
      <c r="O222" s="59">
        <v>42962</v>
      </c>
      <c r="P222" s="59"/>
      <c r="Q222" s="51">
        <v>1559360.75</v>
      </c>
      <c r="R222" s="51">
        <f t="shared" si="6"/>
        <v>16861530.23</v>
      </c>
      <c r="S222" s="51"/>
      <c r="T222" s="52" t="s">
        <v>455</v>
      </c>
      <c r="U222" s="51">
        <v>2386854.9900000002</v>
      </c>
      <c r="V222" s="51">
        <v>2339673.52</v>
      </c>
      <c r="W222" s="51">
        <v>2339673.52</v>
      </c>
      <c r="X222" s="51">
        <v>3444847.1</v>
      </c>
      <c r="Y222" s="19" t="s">
        <v>175</v>
      </c>
      <c r="Z222" s="19"/>
      <c r="AA222" s="28"/>
      <c r="AB222" s="56"/>
      <c r="AC222" s="28"/>
      <c r="AD222" s="28"/>
      <c r="AE222" s="54"/>
      <c r="AF222" s="54"/>
      <c r="AG222" s="54"/>
      <c r="AH222" s="53"/>
      <c r="AI222" s="53" t="s">
        <v>1591</v>
      </c>
      <c r="AJ222" s="53" t="s">
        <v>1591</v>
      </c>
    </row>
    <row r="223" spans="1:36" s="3" customFormat="1" ht="24" x14ac:dyDescent="0.25">
      <c r="A223" s="17" t="s">
        <v>182</v>
      </c>
      <c r="B223" s="18" t="s">
        <v>2517</v>
      </c>
      <c r="C223" s="19" t="s">
        <v>55</v>
      </c>
      <c r="D223" s="45"/>
      <c r="E223" s="50"/>
      <c r="F223" s="58"/>
      <c r="G223" s="51"/>
      <c r="H223" s="51"/>
      <c r="I223" s="50" t="s">
        <v>299</v>
      </c>
      <c r="J223" s="58" t="s">
        <v>2518</v>
      </c>
      <c r="K223" s="52" t="s">
        <v>2522</v>
      </c>
      <c r="L223" s="59">
        <v>42458</v>
      </c>
      <c r="M223" s="60">
        <f>L223+120</f>
        <v>42578</v>
      </c>
      <c r="N223" s="51">
        <v>672085.54</v>
      </c>
      <c r="O223" s="59">
        <v>42578</v>
      </c>
      <c r="P223" s="59" t="s">
        <v>4267</v>
      </c>
      <c r="Q223" s="51"/>
      <c r="R223" s="51">
        <f t="shared" si="6"/>
        <v>672085.54</v>
      </c>
      <c r="S223" s="51"/>
      <c r="T223" s="52" t="s">
        <v>2519</v>
      </c>
      <c r="U223" s="51">
        <v>550923.05000000005</v>
      </c>
      <c r="V223" s="51">
        <v>0</v>
      </c>
      <c r="W223" s="51">
        <v>0</v>
      </c>
      <c r="X223" s="51">
        <v>288095.27</v>
      </c>
      <c r="Y223" s="19" t="s">
        <v>175</v>
      </c>
      <c r="Z223" s="19" t="s">
        <v>4310</v>
      </c>
      <c r="AA223" s="28"/>
      <c r="AB223" s="56"/>
      <c r="AC223" s="28"/>
      <c r="AD223" s="28"/>
      <c r="AE223" s="54"/>
      <c r="AF223" s="54"/>
      <c r="AG223" s="54"/>
      <c r="AH223" s="53"/>
      <c r="AI223" s="53" t="s">
        <v>1591</v>
      </c>
      <c r="AJ223" s="53" t="s">
        <v>1591</v>
      </c>
    </row>
    <row r="224" spans="1:36" s="3" customFormat="1" ht="24" x14ac:dyDescent="0.25">
      <c r="A224" s="17" t="s">
        <v>182</v>
      </c>
      <c r="B224" s="18" t="s">
        <v>2517</v>
      </c>
      <c r="C224" s="19" t="s">
        <v>3986</v>
      </c>
      <c r="D224" s="45" t="s">
        <v>3987</v>
      </c>
      <c r="E224" s="50" t="s">
        <v>46</v>
      </c>
      <c r="F224" s="58" t="s">
        <v>46</v>
      </c>
      <c r="G224" s="51" t="s">
        <v>46</v>
      </c>
      <c r="H224" s="51" t="s">
        <v>46</v>
      </c>
      <c r="I224" s="50" t="s">
        <v>4139</v>
      </c>
      <c r="J224" s="58" t="s">
        <v>4140</v>
      </c>
      <c r="K224" s="52" t="s">
        <v>4141</v>
      </c>
      <c r="L224" s="59">
        <v>42783</v>
      </c>
      <c r="M224" s="60">
        <f>L224+120</f>
        <v>42903</v>
      </c>
      <c r="N224" s="51">
        <v>498122.9</v>
      </c>
      <c r="O224" s="59"/>
      <c r="P224" s="59"/>
      <c r="Q224" s="51"/>
      <c r="R224" s="51">
        <f t="shared" si="6"/>
        <v>498122.9</v>
      </c>
      <c r="S224" s="51"/>
      <c r="T224" s="52" t="s">
        <v>467</v>
      </c>
      <c r="U224" s="51">
        <v>447965.58</v>
      </c>
      <c r="V224" s="51">
        <v>0</v>
      </c>
      <c r="W224" s="51">
        <v>0</v>
      </c>
      <c r="X224" s="51">
        <v>302283.84999999998</v>
      </c>
      <c r="Y224" s="19" t="s">
        <v>175</v>
      </c>
      <c r="Z224" s="19"/>
      <c r="AA224" s="28"/>
      <c r="AB224" s="56"/>
      <c r="AC224" s="28"/>
      <c r="AD224" s="28"/>
      <c r="AE224" s="54"/>
      <c r="AF224" s="54"/>
      <c r="AG224" s="54"/>
      <c r="AH224" s="53"/>
      <c r="AI224" s="53" t="s">
        <v>1591</v>
      </c>
      <c r="AJ224" s="53" t="s">
        <v>1591</v>
      </c>
    </row>
    <row r="225" spans="1:36" s="3" customFormat="1" ht="36" x14ac:dyDescent="0.25">
      <c r="A225" s="17" t="s">
        <v>182</v>
      </c>
      <c r="B225" s="18" t="s">
        <v>2517</v>
      </c>
      <c r="C225" s="19" t="s">
        <v>3984</v>
      </c>
      <c r="D225" s="45" t="s">
        <v>3985</v>
      </c>
      <c r="E225" s="50" t="s">
        <v>46</v>
      </c>
      <c r="F225" s="58" t="s">
        <v>46</v>
      </c>
      <c r="G225" s="51" t="s">
        <v>46</v>
      </c>
      <c r="H225" s="51" t="s">
        <v>46</v>
      </c>
      <c r="I225" s="50" t="s">
        <v>514</v>
      </c>
      <c r="J225" s="58" t="s">
        <v>2521</v>
      </c>
      <c r="K225" s="52" t="s">
        <v>4138</v>
      </c>
      <c r="L225" s="59">
        <v>42478</v>
      </c>
      <c r="M225" s="60">
        <f>L225+90</f>
        <v>42568</v>
      </c>
      <c r="N225" s="51">
        <v>105000.61</v>
      </c>
      <c r="O225" s="59"/>
      <c r="P225" s="59">
        <f>L225+60</f>
        <v>42538</v>
      </c>
      <c r="Q225" s="51">
        <v>6634.23</v>
      </c>
      <c r="R225" s="51">
        <f t="shared" si="6"/>
        <v>111634.84</v>
      </c>
      <c r="S225" s="51"/>
      <c r="T225" s="52" t="s">
        <v>467</v>
      </c>
      <c r="U225" s="51">
        <v>0</v>
      </c>
      <c r="V225" s="51">
        <v>0</v>
      </c>
      <c r="W225" s="51">
        <v>0</v>
      </c>
      <c r="X225" s="51">
        <v>99225.38</v>
      </c>
      <c r="Y225" s="19" t="s">
        <v>468</v>
      </c>
      <c r="Z225" s="19"/>
      <c r="AA225" s="28"/>
      <c r="AB225" s="56"/>
      <c r="AC225" s="28"/>
      <c r="AD225" s="28"/>
      <c r="AE225" s="54"/>
      <c r="AF225" s="54"/>
      <c r="AG225" s="54"/>
      <c r="AH225" s="53"/>
      <c r="AI225" s="53" t="s">
        <v>1591</v>
      </c>
      <c r="AJ225" s="53" t="s">
        <v>1591</v>
      </c>
    </row>
    <row r="226" spans="1:36" s="3" customFormat="1" ht="216" x14ac:dyDescent="0.25">
      <c r="A226" s="17" t="s">
        <v>182</v>
      </c>
      <c r="B226" s="18" t="s">
        <v>243</v>
      </c>
      <c r="C226" s="19" t="s">
        <v>3988</v>
      </c>
      <c r="D226" s="45" t="s">
        <v>2705</v>
      </c>
      <c r="E226" s="50"/>
      <c r="F226" s="58"/>
      <c r="G226" s="51"/>
      <c r="H226" s="51"/>
      <c r="I226" s="50" t="s">
        <v>1419</v>
      </c>
      <c r="J226" s="58" t="s">
        <v>4142</v>
      </c>
      <c r="K226" s="52" t="s">
        <v>593</v>
      </c>
      <c r="L226" s="59">
        <v>41519</v>
      </c>
      <c r="M226" s="60">
        <f>L226+545</f>
        <v>42064</v>
      </c>
      <c r="N226" s="51">
        <v>17358000</v>
      </c>
      <c r="O226" s="59">
        <v>41883</v>
      </c>
      <c r="P226" s="59">
        <f>M226+180</f>
        <v>42244</v>
      </c>
      <c r="Q226" s="51">
        <v>-1716187.63</v>
      </c>
      <c r="R226" s="51">
        <f t="shared" si="6"/>
        <v>15641812.370000001</v>
      </c>
      <c r="S226" s="51">
        <v>145906.34000000003</v>
      </c>
      <c r="T226" s="52" t="s">
        <v>52</v>
      </c>
      <c r="U226" s="51">
        <v>1159178.42</v>
      </c>
      <c r="V226" s="51">
        <v>1013272.0800000001</v>
      </c>
      <c r="W226" s="51">
        <v>1013272.08</v>
      </c>
      <c r="X226" s="51">
        <v>13744248.73</v>
      </c>
      <c r="Y226" s="19" t="s">
        <v>575</v>
      </c>
      <c r="Z226" s="19"/>
      <c r="AA226" s="28" t="s">
        <v>7279</v>
      </c>
      <c r="AB226" s="56">
        <v>43412</v>
      </c>
      <c r="AC226" s="28" t="s">
        <v>7280</v>
      </c>
      <c r="AD226" s="28" t="s">
        <v>7281</v>
      </c>
      <c r="AE226" s="54" t="s">
        <v>7282</v>
      </c>
      <c r="AF226" s="54"/>
      <c r="AG226" s="54" t="s">
        <v>7283</v>
      </c>
      <c r="AH226" s="53" t="s">
        <v>1591</v>
      </c>
      <c r="AI226" s="53" t="s">
        <v>2686</v>
      </c>
      <c r="AJ226" s="53" t="s">
        <v>1591</v>
      </c>
    </row>
    <row r="227" spans="1:36" s="3" customFormat="1" ht="36" x14ac:dyDescent="0.25">
      <c r="A227" s="17" t="s">
        <v>182</v>
      </c>
      <c r="B227" s="18" t="s">
        <v>244</v>
      </c>
      <c r="C227" s="19" t="s">
        <v>260</v>
      </c>
      <c r="D227" s="45" t="s">
        <v>261</v>
      </c>
      <c r="E227" s="50"/>
      <c r="F227" s="58"/>
      <c r="G227" s="51"/>
      <c r="H227" s="51"/>
      <c r="I227" s="50" t="s">
        <v>262</v>
      </c>
      <c r="J227" s="58" t="s">
        <v>263</v>
      </c>
      <c r="K227" s="52" t="s">
        <v>201</v>
      </c>
      <c r="L227" s="59" t="s">
        <v>2939</v>
      </c>
      <c r="M227" s="60">
        <f>L227+540</f>
        <v>41653</v>
      </c>
      <c r="N227" s="51">
        <v>29418761.98</v>
      </c>
      <c r="O227" s="59" t="s">
        <v>264</v>
      </c>
      <c r="P227" s="59">
        <f>M227+360</f>
        <v>42013</v>
      </c>
      <c r="Q227" s="51">
        <v>7085051.2000000002</v>
      </c>
      <c r="R227" s="51">
        <f t="shared" si="6"/>
        <v>36503813.18</v>
      </c>
      <c r="S227" s="51">
        <v>1754948.34</v>
      </c>
      <c r="T227" s="52" t="s">
        <v>52</v>
      </c>
      <c r="U227" s="51">
        <v>21204657.190000001</v>
      </c>
      <c r="V227" s="51">
        <v>0</v>
      </c>
      <c r="W227" s="51">
        <v>581772.13</v>
      </c>
      <c r="X227" s="51">
        <v>22232551.640000001</v>
      </c>
      <c r="Y227" s="19" t="s">
        <v>157</v>
      </c>
      <c r="Z227" s="19"/>
      <c r="AA227" s="28"/>
      <c r="AB227" s="56"/>
      <c r="AC227" s="28"/>
      <c r="AD227" s="28"/>
      <c r="AE227" s="54"/>
      <c r="AF227" s="54"/>
      <c r="AG227" s="54"/>
      <c r="AH227" s="53"/>
      <c r="AI227" s="53" t="s">
        <v>1591</v>
      </c>
      <c r="AJ227" s="53" t="s">
        <v>1591</v>
      </c>
    </row>
    <row r="228" spans="1:36" s="3" customFormat="1" ht="24" x14ac:dyDescent="0.25">
      <c r="A228" s="17" t="s">
        <v>182</v>
      </c>
      <c r="B228" s="18" t="s">
        <v>244</v>
      </c>
      <c r="C228" s="19" t="s">
        <v>59</v>
      </c>
      <c r="D228" s="45" t="s">
        <v>256</v>
      </c>
      <c r="E228" s="50"/>
      <c r="F228" s="58"/>
      <c r="G228" s="51"/>
      <c r="H228" s="51"/>
      <c r="I228" s="50" t="s">
        <v>257</v>
      </c>
      <c r="J228" s="58" t="s">
        <v>254</v>
      </c>
      <c r="K228" s="52" t="s">
        <v>258</v>
      </c>
      <c r="L228" s="59" t="s">
        <v>2851</v>
      </c>
      <c r="M228" s="60">
        <f>L228+360</f>
        <v>41785</v>
      </c>
      <c r="N228" s="51">
        <v>25998962.420000002</v>
      </c>
      <c r="O228" s="59" t="s">
        <v>259</v>
      </c>
      <c r="P228" s="59">
        <f>M228+300</f>
        <v>42085</v>
      </c>
      <c r="Q228" s="51">
        <v>6146159.2800000003</v>
      </c>
      <c r="R228" s="51">
        <f t="shared" si="6"/>
        <v>32145121.700000003</v>
      </c>
      <c r="S228" s="51">
        <v>227284.62</v>
      </c>
      <c r="T228" s="52" t="s">
        <v>52</v>
      </c>
      <c r="U228" s="51">
        <v>31357931.609999999</v>
      </c>
      <c r="V228" s="51">
        <v>0</v>
      </c>
      <c r="W228" s="51">
        <v>830402.99</v>
      </c>
      <c r="X228" s="51">
        <v>31550122.559999999</v>
      </c>
      <c r="Y228" s="19" t="s">
        <v>157</v>
      </c>
      <c r="Z228" s="19"/>
      <c r="AA228" s="28"/>
      <c r="AB228" s="56"/>
      <c r="AC228" s="28"/>
      <c r="AD228" s="28"/>
      <c r="AE228" s="54"/>
      <c r="AF228" s="54"/>
      <c r="AG228" s="54"/>
      <c r="AH228" s="53"/>
      <c r="AI228" s="53" t="s">
        <v>1591</v>
      </c>
      <c r="AJ228" s="53" t="s">
        <v>1591</v>
      </c>
    </row>
    <row r="229" spans="1:36" s="3" customFormat="1" ht="60" x14ac:dyDescent="0.25">
      <c r="A229" s="17" t="s">
        <v>182</v>
      </c>
      <c r="B229" s="18" t="s">
        <v>244</v>
      </c>
      <c r="C229" s="19" t="s">
        <v>265</v>
      </c>
      <c r="D229" s="45" t="s">
        <v>266</v>
      </c>
      <c r="E229" s="50" t="s">
        <v>267</v>
      </c>
      <c r="F229" s="58" t="s">
        <v>252</v>
      </c>
      <c r="G229" s="51">
        <v>7000000</v>
      </c>
      <c r="H229" s="51">
        <v>4877072.34</v>
      </c>
      <c r="I229" s="50" t="s">
        <v>268</v>
      </c>
      <c r="J229" s="58" t="s">
        <v>269</v>
      </c>
      <c r="K229" s="52" t="s">
        <v>270</v>
      </c>
      <c r="L229" s="59" t="s">
        <v>3124</v>
      </c>
      <c r="M229" s="60">
        <f>L229+360</f>
        <v>41805</v>
      </c>
      <c r="N229" s="51">
        <v>11993411.75</v>
      </c>
      <c r="O229" s="59" t="s">
        <v>271</v>
      </c>
      <c r="P229" s="59">
        <f>M229+22*30</f>
        <v>42465</v>
      </c>
      <c r="Q229" s="51">
        <v>1647700.54</v>
      </c>
      <c r="R229" s="51">
        <f t="shared" si="6"/>
        <v>13641112.289999999</v>
      </c>
      <c r="S229" s="51">
        <v>477876.43</v>
      </c>
      <c r="T229" s="52" t="s">
        <v>52</v>
      </c>
      <c r="U229" s="51">
        <v>5788461.3799999999</v>
      </c>
      <c r="V229" s="51">
        <v>0</v>
      </c>
      <c r="W229" s="51">
        <v>0</v>
      </c>
      <c r="X229" s="51">
        <v>5164541.91</v>
      </c>
      <c r="Y229" s="19" t="s">
        <v>157</v>
      </c>
      <c r="Z229" s="19"/>
      <c r="AA229" s="28"/>
      <c r="AB229" s="56"/>
      <c r="AC229" s="28"/>
      <c r="AD229" s="28"/>
      <c r="AE229" s="54"/>
      <c r="AF229" s="54"/>
      <c r="AG229" s="54"/>
      <c r="AH229" s="53"/>
      <c r="AI229" s="53" t="s">
        <v>1591</v>
      </c>
      <c r="AJ229" s="53" t="s">
        <v>1591</v>
      </c>
    </row>
    <row r="230" spans="1:36" s="3" customFormat="1" ht="60" x14ac:dyDescent="0.25">
      <c r="A230" s="17" t="s">
        <v>182</v>
      </c>
      <c r="B230" s="18" t="s">
        <v>244</v>
      </c>
      <c r="C230" s="19" t="s">
        <v>287</v>
      </c>
      <c r="D230" s="45" t="s">
        <v>288</v>
      </c>
      <c r="E230" s="50"/>
      <c r="F230" s="58"/>
      <c r="G230" s="51"/>
      <c r="H230" s="51"/>
      <c r="I230" s="50" t="s">
        <v>247</v>
      </c>
      <c r="J230" s="58" t="s">
        <v>272</v>
      </c>
      <c r="K230" s="52" t="s">
        <v>289</v>
      </c>
      <c r="L230" s="59" t="s">
        <v>2865</v>
      </c>
      <c r="M230" s="60">
        <f>L230+180</f>
        <v>41829</v>
      </c>
      <c r="N230" s="51">
        <v>8743137.1600000001</v>
      </c>
      <c r="O230" s="59" t="s">
        <v>251</v>
      </c>
      <c r="P230" s="59">
        <f>M230+12*30</f>
        <v>42189</v>
      </c>
      <c r="Q230" s="51">
        <v>748084.54</v>
      </c>
      <c r="R230" s="51">
        <f t="shared" si="6"/>
        <v>9491221.6999999993</v>
      </c>
      <c r="S230" s="51">
        <v>377712.22</v>
      </c>
      <c r="T230" s="52" t="s">
        <v>52</v>
      </c>
      <c r="U230" s="51">
        <v>5653697.9000000004</v>
      </c>
      <c r="V230" s="51">
        <v>0</v>
      </c>
      <c r="W230" s="51">
        <v>0</v>
      </c>
      <c r="X230" s="51">
        <v>5653697.9000000004</v>
      </c>
      <c r="Y230" s="19" t="s">
        <v>157</v>
      </c>
      <c r="Z230" s="19"/>
      <c r="AA230" s="28"/>
      <c r="AB230" s="56"/>
      <c r="AC230" s="28"/>
      <c r="AD230" s="28"/>
      <c r="AE230" s="54"/>
      <c r="AF230" s="54"/>
      <c r="AG230" s="54"/>
      <c r="AH230" s="53"/>
      <c r="AI230" s="53" t="s">
        <v>1591</v>
      </c>
      <c r="AJ230" s="53" t="s">
        <v>1591</v>
      </c>
    </row>
    <row r="231" spans="1:36" s="3" customFormat="1" ht="60" x14ac:dyDescent="0.25">
      <c r="A231" s="17" t="s">
        <v>182</v>
      </c>
      <c r="B231" s="18" t="s">
        <v>244</v>
      </c>
      <c r="C231" s="19" t="s">
        <v>290</v>
      </c>
      <c r="D231" s="45" t="s">
        <v>291</v>
      </c>
      <c r="E231" s="50"/>
      <c r="F231" s="58"/>
      <c r="G231" s="51"/>
      <c r="H231" s="51"/>
      <c r="I231" s="50" t="s">
        <v>247</v>
      </c>
      <c r="J231" s="58" t="s">
        <v>272</v>
      </c>
      <c r="K231" s="52" t="s">
        <v>292</v>
      </c>
      <c r="L231" s="59" t="s">
        <v>2940</v>
      </c>
      <c r="M231" s="60">
        <f>L231+180</f>
        <v>41828</v>
      </c>
      <c r="N231" s="51">
        <v>7650773.0099999998</v>
      </c>
      <c r="O231" s="59" t="s">
        <v>251</v>
      </c>
      <c r="P231" s="59">
        <f>M231+12*30</f>
        <v>42188</v>
      </c>
      <c r="Q231" s="51">
        <v>850170.73</v>
      </c>
      <c r="R231" s="51">
        <f t="shared" si="6"/>
        <v>8500943.7400000002</v>
      </c>
      <c r="S231" s="51">
        <v>261621.07</v>
      </c>
      <c r="T231" s="52" t="s">
        <v>52</v>
      </c>
      <c r="U231" s="51">
        <v>5192193.29</v>
      </c>
      <c r="V231" s="51">
        <v>0</v>
      </c>
      <c r="W231" s="51">
        <v>0</v>
      </c>
      <c r="X231" s="51">
        <v>5192193.29</v>
      </c>
      <c r="Y231" s="19" t="s">
        <v>157</v>
      </c>
      <c r="Z231" s="19"/>
      <c r="AA231" s="28"/>
      <c r="AB231" s="56"/>
      <c r="AC231" s="28"/>
      <c r="AD231" s="28"/>
      <c r="AE231" s="54"/>
      <c r="AF231" s="54"/>
      <c r="AG231" s="54"/>
      <c r="AH231" s="53"/>
      <c r="AI231" s="53" t="s">
        <v>1591</v>
      </c>
      <c r="AJ231" s="53" t="s">
        <v>1591</v>
      </c>
    </row>
    <row r="232" spans="1:36" s="3" customFormat="1" ht="36" x14ac:dyDescent="0.25">
      <c r="A232" s="17" t="s">
        <v>182</v>
      </c>
      <c r="B232" s="18" t="s">
        <v>244</v>
      </c>
      <c r="C232" s="19" t="s">
        <v>280</v>
      </c>
      <c r="D232" s="45" t="s">
        <v>281</v>
      </c>
      <c r="E232" s="50" t="s">
        <v>282</v>
      </c>
      <c r="F232" s="58" t="s">
        <v>252</v>
      </c>
      <c r="G232" s="51">
        <v>1891900.99</v>
      </c>
      <c r="H232" s="51">
        <v>4596764.16</v>
      </c>
      <c r="I232" s="50" t="s">
        <v>283</v>
      </c>
      <c r="J232" s="58" t="s">
        <v>284</v>
      </c>
      <c r="K232" s="52" t="s">
        <v>285</v>
      </c>
      <c r="L232" s="59" t="s">
        <v>2696</v>
      </c>
      <c r="M232" s="60">
        <f>L232+360</f>
        <v>41767</v>
      </c>
      <c r="N232" s="51">
        <v>5286169.1399999997</v>
      </c>
      <c r="O232" s="59" t="s">
        <v>286</v>
      </c>
      <c r="P232" s="59">
        <f>M232+14</f>
        <v>41781</v>
      </c>
      <c r="Q232" s="51">
        <v>2310595.02</v>
      </c>
      <c r="R232" s="51">
        <f t="shared" si="6"/>
        <v>7596764.1600000001</v>
      </c>
      <c r="S232" s="51">
        <v>304457.99</v>
      </c>
      <c r="T232" s="52" t="s">
        <v>52</v>
      </c>
      <c r="U232" s="51">
        <v>5741247.7000000002</v>
      </c>
      <c r="V232" s="51">
        <v>0</v>
      </c>
      <c r="W232" s="51">
        <v>0</v>
      </c>
      <c r="X232" s="51">
        <v>5741247.7000000002</v>
      </c>
      <c r="Y232" s="19" t="s">
        <v>286</v>
      </c>
      <c r="Z232" s="19"/>
      <c r="AA232" s="28"/>
      <c r="AB232" s="56"/>
      <c r="AC232" s="28"/>
      <c r="AD232" s="28"/>
      <c r="AE232" s="54"/>
      <c r="AF232" s="54"/>
      <c r="AG232" s="54"/>
      <c r="AH232" s="53"/>
      <c r="AI232" s="53" t="s">
        <v>1591</v>
      </c>
      <c r="AJ232" s="53" t="s">
        <v>1591</v>
      </c>
    </row>
    <row r="233" spans="1:36" s="3" customFormat="1" ht="60" x14ac:dyDescent="0.25">
      <c r="A233" s="17" t="s">
        <v>182</v>
      </c>
      <c r="B233" s="18" t="s">
        <v>244</v>
      </c>
      <c r="C233" s="19" t="s">
        <v>245</v>
      </c>
      <c r="D233" s="45" t="s">
        <v>246</v>
      </c>
      <c r="E233" s="50"/>
      <c r="F233" s="58"/>
      <c r="G233" s="51"/>
      <c r="H233" s="51"/>
      <c r="I233" s="50" t="s">
        <v>247</v>
      </c>
      <c r="J233" s="58" t="s">
        <v>248</v>
      </c>
      <c r="K233" s="52" t="s">
        <v>249</v>
      </c>
      <c r="L233" s="59" t="s">
        <v>2930</v>
      </c>
      <c r="M233" s="60">
        <f>L233+240</f>
        <v>41783</v>
      </c>
      <c r="N233" s="51">
        <v>6530875.3899999997</v>
      </c>
      <c r="O233" s="59" t="s">
        <v>251</v>
      </c>
      <c r="P233" s="59">
        <f>M233+480</f>
        <v>42263</v>
      </c>
      <c r="Q233" s="51">
        <v>911908.5</v>
      </c>
      <c r="R233" s="51">
        <f t="shared" si="6"/>
        <v>7442783.8899999997</v>
      </c>
      <c r="S233" s="51">
        <v>584997.63</v>
      </c>
      <c r="T233" s="52" t="s">
        <v>52</v>
      </c>
      <c r="U233" s="51">
        <v>7192701.1900000004</v>
      </c>
      <c r="V233" s="51">
        <v>0</v>
      </c>
      <c r="W233" s="51">
        <v>0</v>
      </c>
      <c r="X233" s="51">
        <v>7740711.7300000004</v>
      </c>
      <c r="Y233" s="19" t="s">
        <v>157</v>
      </c>
      <c r="Z233" s="19"/>
      <c r="AA233" s="28"/>
      <c r="AB233" s="56"/>
      <c r="AC233" s="28"/>
      <c r="AD233" s="28"/>
      <c r="AE233" s="54"/>
      <c r="AF233" s="54"/>
      <c r="AG233" s="54"/>
      <c r="AH233" s="53"/>
      <c r="AI233" s="53" t="s">
        <v>1591</v>
      </c>
      <c r="AJ233" s="53" t="s">
        <v>1591</v>
      </c>
    </row>
    <row r="234" spans="1:36" s="3" customFormat="1" ht="24" x14ac:dyDescent="0.25">
      <c r="A234" s="17" t="s">
        <v>182</v>
      </c>
      <c r="B234" s="18" t="s">
        <v>244</v>
      </c>
      <c r="C234" s="19" t="s">
        <v>293</v>
      </c>
      <c r="D234" s="45" t="s">
        <v>294</v>
      </c>
      <c r="E234" s="50"/>
      <c r="F234" s="58"/>
      <c r="G234" s="51"/>
      <c r="H234" s="51"/>
      <c r="I234" s="50" t="s">
        <v>295</v>
      </c>
      <c r="J234" s="58" t="s">
        <v>296</v>
      </c>
      <c r="K234" s="52" t="s">
        <v>297</v>
      </c>
      <c r="L234" s="59" t="s">
        <v>3125</v>
      </c>
      <c r="M234" s="60">
        <f>L234+180</f>
        <v>41699</v>
      </c>
      <c r="N234" s="51">
        <v>5008394.49</v>
      </c>
      <c r="O234" s="59" t="s">
        <v>298</v>
      </c>
      <c r="P234" s="59">
        <f>M234+450</f>
        <v>42149</v>
      </c>
      <c r="Q234" s="51">
        <v>2019346.11</v>
      </c>
      <c r="R234" s="51">
        <f t="shared" si="6"/>
        <v>7027740.6000000006</v>
      </c>
      <c r="S234" s="51">
        <v>389049.78</v>
      </c>
      <c r="T234" s="52" t="s">
        <v>52</v>
      </c>
      <c r="U234" s="51">
        <v>7333711.25</v>
      </c>
      <c r="V234" s="51">
        <v>0</v>
      </c>
      <c r="W234" s="51">
        <v>2282138.8100000005</v>
      </c>
      <c r="X234" s="51">
        <v>7333711.2500000009</v>
      </c>
      <c r="Y234" s="19" t="s">
        <v>157</v>
      </c>
      <c r="Z234" s="19"/>
      <c r="AA234" s="28"/>
      <c r="AB234" s="56"/>
      <c r="AC234" s="28"/>
      <c r="AD234" s="28"/>
      <c r="AE234" s="54"/>
      <c r="AF234" s="54"/>
      <c r="AG234" s="54"/>
      <c r="AH234" s="53"/>
      <c r="AI234" s="53" t="s">
        <v>1591</v>
      </c>
      <c r="AJ234" s="53" t="s">
        <v>1591</v>
      </c>
    </row>
    <row r="235" spans="1:36" s="3" customFormat="1" ht="36" x14ac:dyDescent="0.25">
      <c r="A235" s="35" t="s">
        <v>182</v>
      </c>
      <c r="B235" s="18" t="s">
        <v>244</v>
      </c>
      <c r="C235" s="19" t="s">
        <v>273</v>
      </c>
      <c r="D235" s="43" t="s">
        <v>274</v>
      </c>
      <c r="E235" s="50" t="s">
        <v>275</v>
      </c>
      <c r="F235" s="36" t="s">
        <v>252</v>
      </c>
      <c r="G235" s="51">
        <v>1500000</v>
      </c>
      <c r="H235" s="51">
        <v>3381543.89</v>
      </c>
      <c r="I235" s="36" t="s">
        <v>276</v>
      </c>
      <c r="J235" s="34" t="s">
        <v>277</v>
      </c>
      <c r="K235" s="37" t="s">
        <v>278</v>
      </c>
      <c r="L235" s="38" t="s">
        <v>2696</v>
      </c>
      <c r="M235" s="39">
        <f>L235+270</f>
        <v>41677</v>
      </c>
      <c r="N235" s="42">
        <v>4275418.25</v>
      </c>
      <c r="O235" s="74" t="s">
        <v>279</v>
      </c>
      <c r="P235" s="39">
        <f>M235+14</f>
        <v>41691</v>
      </c>
      <c r="Q235" s="41">
        <v>606125.64</v>
      </c>
      <c r="R235" s="51">
        <f t="shared" si="6"/>
        <v>4881543.8899999997</v>
      </c>
      <c r="S235" s="51"/>
      <c r="T235" s="52" t="s">
        <v>52</v>
      </c>
      <c r="U235" s="51">
        <v>2461512.42</v>
      </c>
      <c r="V235" s="51">
        <v>0</v>
      </c>
      <c r="W235" s="42">
        <v>0</v>
      </c>
      <c r="X235" s="42">
        <v>2461512.42</v>
      </c>
      <c r="Y235" s="34" t="s">
        <v>157</v>
      </c>
      <c r="Z235" s="34"/>
      <c r="AA235" s="28"/>
      <c r="AB235" s="56"/>
      <c r="AC235" s="28"/>
      <c r="AD235" s="28"/>
      <c r="AE235" s="54"/>
      <c r="AF235" s="54"/>
      <c r="AG235" s="54"/>
      <c r="AH235" s="53"/>
      <c r="AI235" s="53" t="s">
        <v>1591</v>
      </c>
      <c r="AJ235" s="53" t="s">
        <v>1591</v>
      </c>
    </row>
    <row r="236" spans="1:36" s="3" customFormat="1" ht="48" x14ac:dyDescent="0.25">
      <c r="A236" s="17" t="s">
        <v>182</v>
      </c>
      <c r="B236" s="18" t="s">
        <v>244</v>
      </c>
      <c r="C236" s="19" t="s">
        <v>304</v>
      </c>
      <c r="D236" s="45" t="s">
        <v>305</v>
      </c>
      <c r="E236" s="50"/>
      <c r="F236" s="58"/>
      <c r="G236" s="51"/>
      <c r="H236" s="51"/>
      <c r="I236" s="50" t="s">
        <v>295</v>
      </c>
      <c r="J236" s="58" t="s">
        <v>296</v>
      </c>
      <c r="K236" s="52" t="s">
        <v>306</v>
      </c>
      <c r="L236" s="59" t="s">
        <v>3125</v>
      </c>
      <c r="M236" s="60">
        <f>L236+180</f>
        <v>41699</v>
      </c>
      <c r="N236" s="51">
        <v>2241693.06</v>
      </c>
      <c r="O236" s="59" t="s">
        <v>307</v>
      </c>
      <c r="P236" s="59">
        <f>M236+982</f>
        <v>42681</v>
      </c>
      <c r="Q236" s="51">
        <v>491394.59</v>
      </c>
      <c r="R236" s="51">
        <f t="shared" ref="R236:R255" si="7">N236+Q236</f>
        <v>2733087.65</v>
      </c>
      <c r="S236" s="51"/>
      <c r="T236" s="52" t="s">
        <v>52</v>
      </c>
      <c r="U236" s="51">
        <v>1029408.68</v>
      </c>
      <c r="V236" s="51">
        <v>0</v>
      </c>
      <c r="W236" s="51">
        <v>0</v>
      </c>
      <c r="X236" s="51">
        <v>949244.61</v>
      </c>
      <c r="Y236" s="19" t="s">
        <v>157</v>
      </c>
      <c r="Z236" s="19"/>
      <c r="AA236" s="28"/>
      <c r="AB236" s="56"/>
      <c r="AC236" s="28"/>
      <c r="AD236" s="28"/>
      <c r="AE236" s="54"/>
      <c r="AF236" s="54"/>
      <c r="AG236" s="54"/>
      <c r="AH236" s="53"/>
      <c r="AI236" s="53" t="s">
        <v>1591</v>
      </c>
      <c r="AJ236" s="53" t="s">
        <v>1591</v>
      </c>
    </row>
    <row r="237" spans="1:36" s="3" customFormat="1" ht="36" x14ac:dyDescent="0.25">
      <c r="A237" s="17" t="s">
        <v>182</v>
      </c>
      <c r="B237" s="18" t="s">
        <v>244</v>
      </c>
      <c r="C237" s="19"/>
      <c r="D237" s="45"/>
      <c r="E237" s="50"/>
      <c r="F237" s="58"/>
      <c r="G237" s="51"/>
      <c r="H237" s="51"/>
      <c r="I237" s="50" t="s">
        <v>301</v>
      </c>
      <c r="J237" s="58" t="s">
        <v>302</v>
      </c>
      <c r="K237" s="52"/>
      <c r="L237" s="59"/>
      <c r="M237" s="60"/>
      <c r="N237" s="51"/>
      <c r="O237" s="59"/>
      <c r="P237" s="59"/>
      <c r="Q237" s="51"/>
      <c r="R237" s="51">
        <f t="shared" si="7"/>
        <v>0</v>
      </c>
      <c r="S237" s="51"/>
      <c r="T237" s="52"/>
      <c r="U237" s="51"/>
      <c r="V237" s="51">
        <v>0</v>
      </c>
      <c r="W237" s="51">
        <v>2282946.6800000002</v>
      </c>
      <c r="X237" s="51"/>
      <c r="Y237" s="19"/>
      <c r="Z237" s="19" t="s">
        <v>4311</v>
      </c>
      <c r="AA237" s="28"/>
      <c r="AB237" s="56"/>
      <c r="AC237" s="28"/>
      <c r="AD237" s="28"/>
      <c r="AE237" s="54"/>
      <c r="AF237" s="54"/>
      <c r="AG237" s="54"/>
      <c r="AH237" s="53"/>
      <c r="AI237" s="53" t="s">
        <v>1591</v>
      </c>
      <c r="AJ237" s="53" t="s">
        <v>1591</v>
      </c>
    </row>
    <row r="238" spans="1:36" s="3" customFormat="1" ht="36" x14ac:dyDescent="0.25">
      <c r="A238" s="17" t="s">
        <v>182</v>
      </c>
      <c r="B238" s="18" t="s">
        <v>312</v>
      </c>
      <c r="C238" s="19" t="s">
        <v>317</v>
      </c>
      <c r="D238" s="45" t="s">
        <v>318</v>
      </c>
      <c r="E238" s="50"/>
      <c r="F238" s="58"/>
      <c r="G238" s="51"/>
      <c r="H238" s="51"/>
      <c r="I238" s="50" t="s">
        <v>236</v>
      </c>
      <c r="J238" s="58" t="s">
        <v>319</v>
      </c>
      <c r="K238" s="52" t="s">
        <v>320</v>
      </c>
      <c r="L238" s="59">
        <v>42321</v>
      </c>
      <c r="M238" s="60">
        <f>L238+90</f>
        <v>42411</v>
      </c>
      <c r="N238" s="51">
        <v>1643274.99</v>
      </c>
      <c r="O238" s="59">
        <v>42412</v>
      </c>
      <c r="P238" s="59">
        <f>M238+780</f>
        <v>43191</v>
      </c>
      <c r="Q238" s="51"/>
      <c r="R238" s="51">
        <f t="shared" si="7"/>
        <v>1643274.99</v>
      </c>
      <c r="S238" s="51"/>
      <c r="T238" s="52" t="s">
        <v>52</v>
      </c>
      <c r="U238" s="51">
        <v>1279752.23</v>
      </c>
      <c r="V238" s="51" t="s">
        <v>46</v>
      </c>
      <c r="W238" s="51"/>
      <c r="X238" s="51">
        <v>1279752.23</v>
      </c>
      <c r="Y238" s="19" t="s">
        <v>330</v>
      </c>
      <c r="Z238" s="19"/>
      <c r="AA238" s="28"/>
      <c r="AB238" s="56"/>
      <c r="AC238" s="28"/>
      <c r="AD238" s="28"/>
      <c r="AE238" s="54"/>
      <c r="AF238" s="54"/>
      <c r="AG238" s="54"/>
      <c r="AH238" s="53"/>
      <c r="AI238" s="53" t="s">
        <v>1591</v>
      </c>
      <c r="AJ238" s="53" t="s">
        <v>1591</v>
      </c>
    </row>
    <row r="239" spans="1:36" s="3" customFormat="1" ht="60" x14ac:dyDescent="0.25">
      <c r="A239" s="35" t="s">
        <v>182</v>
      </c>
      <c r="B239" s="18" t="s">
        <v>312</v>
      </c>
      <c r="C239" s="19" t="s">
        <v>337</v>
      </c>
      <c r="D239" s="43" t="s">
        <v>338</v>
      </c>
      <c r="E239" s="50"/>
      <c r="F239" s="36"/>
      <c r="G239" s="51"/>
      <c r="H239" s="51"/>
      <c r="I239" s="36" t="s">
        <v>67</v>
      </c>
      <c r="J239" s="34" t="s">
        <v>68</v>
      </c>
      <c r="K239" s="37" t="s">
        <v>339</v>
      </c>
      <c r="L239" s="38">
        <v>42705</v>
      </c>
      <c r="M239" s="39">
        <f>L239+120</f>
        <v>42825</v>
      </c>
      <c r="N239" s="42">
        <v>614033.87</v>
      </c>
      <c r="O239" s="74">
        <v>42825</v>
      </c>
      <c r="P239" s="39"/>
      <c r="Q239" s="41"/>
      <c r="R239" s="51">
        <f t="shared" si="7"/>
        <v>614033.87</v>
      </c>
      <c r="S239" s="51"/>
      <c r="T239" s="52"/>
      <c r="U239" s="51">
        <v>611659.6</v>
      </c>
      <c r="V239" s="51" t="s">
        <v>46</v>
      </c>
      <c r="W239" s="42"/>
      <c r="X239" s="42"/>
      <c r="Y239" s="34" t="s">
        <v>340</v>
      </c>
      <c r="Z239" s="34"/>
      <c r="AA239" s="28"/>
      <c r="AB239" s="56"/>
      <c r="AC239" s="28"/>
      <c r="AD239" s="28"/>
      <c r="AE239" s="54"/>
      <c r="AF239" s="54"/>
      <c r="AG239" s="54"/>
      <c r="AH239" s="53"/>
      <c r="AI239" s="53" t="s">
        <v>1591</v>
      </c>
      <c r="AJ239" s="53" t="s">
        <v>1591</v>
      </c>
    </row>
    <row r="240" spans="1:36" s="3" customFormat="1" ht="36" x14ac:dyDescent="0.25">
      <c r="A240" s="17" t="s">
        <v>182</v>
      </c>
      <c r="B240" s="18" t="s">
        <v>312</v>
      </c>
      <c r="C240" s="19" t="s">
        <v>341</v>
      </c>
      <c r="D240" s="45" t="s">
        <v>342</v>
      </c>
      <c r="E240" s="50"/>
      <c r="F240" s="58"/>
      <c r="G240" s="51"/>
      <c r="H240" s="51"/>
      <c r="I240" s="50" t="s">
        <v>343</v>
      </c>
      <c r="J240" s="58" t="s">
        <v>344</v>
      </c>
      <c r="K240" s="52" t="s">
        <v>345</v>
      </c>
      <c r="L240" s="59">
        <v>42705</v>
      </c>
      <c r="M240" s="60">
        <f>L240+120</f>
        <v>42825</v>
      </c>
      <c r="N240" s="51">
        <v>601075.34</v>
      </c>
      <c r="O240" s="59">
        <v>42825</v>
      </c>
      <c r="P240" s="59">
        <f>M240+360</f>
        <v>43185</v>
      </c>
      <c r="Q240" s="51"/>
      <c r="R240" s="51">
        <f t="shared" si="7"/>
        <v>601075.34</v>
      </c>
      <c r="S240" s="51"/>
      <c r="T240" s="52"/>
      <c r="U240" s="51">
        <v>449789.18</v>
      </c>
      <c r="V240" s="51"/>
      <c r="W240" s="51"/>
      <c r="X240" s="51">
        <v>449789.18</v>
      </c>
      <c r="Y240" s="19" t="s">
        <v>330</v>
      </c>
      <c r="Z240" s="19"/>
      <c r="AA240" s="28"/>
      <c r="AB240" s="56"/>
      <c r="AC240" s="28"/>
      <c r="AD240" s="28"/>
      <c r="AE240" s="54"/>
      <c r="AF240" s="54"/>
      <c r="AG240" s="54"/>
      <c r="AH240" s="53"/>
      <c r="AI240" s="53" t="s">
        <v>1591</v>
      </c>
      <c r="AJ240" s="53" t="s">
        <v>1591</v>
      </c>
    </row>
    <row r="241" spans="1:36" s="3" customFormat="1" ht="36" x14ac:dyDescent="0.25">
      <c r="A241" s="17" t="s">
        <v>182</v>
      </c>
      <c r="B241" s="18" t="s">
        <v>312</v>
      </c>
      <c r="C241" s="19" t="s">
        <v>325</v>
      </c>
      <c r="D241" s="45" t="s">
        <v>326</v>
      </c>
      <c r="E241" s="50"/>
      <c r="F241" s="58"/>
      <c r="G241" s="51"/>
      <c r="H241" s="51"/>
      <c r="I241" s="50" t="s">
        <v>327</v>
      </c>
      <c r="J241" s="58" t="s">
        <v>328</v>
      </c>
      <c r="K241" s="52" t="s">
        <v>329</v>
      </c>
      <c r="L241" s="59">
        <v>42522</v>
      </c>
      <c r="M241" s="60">
        <f>L241+210</f>
        <v>42732</v>
      </c>
      <c r="N241" s="51">
        <v>498204.43</v>
      </c>
      <c r="O241" s="59">
        <v>42732</v>
      </c>
      <c r="P241" s="59">
        <f>M241+420</f>
        <v>43152</v>
      </c>
      <c r="Q241" s="51"/>
      <c r="R241" s="51">
        <f t="shared" si="7"/>
        <v>498204.43</v>
      </c>
      <c r="S241" s="51"/>
      <c r="T241" s="52"/>
      <c r="U241" s="51">
        <v>252709.45</v>
      </c>
      <c r="V241" s="51" t="s">
        <v>46</v>
      </c>
      <c r="W241" s="51"/>
      <c r="X241" s="51">
        <v>252709.45</v>
      </c>
      <c r="Y241" s="19" t="s">
        <v>330</v>
      </c>
      <c r="Z241" s="19"/>
      <c r="AA241" s="28"/>
      <c r="AB241" s="56"/>
      <c r="AC241" s="28"/>
      <c r="AD241" s="28"/>
      <c r="AE241" s="54"/>
      <c r="AF241" s="54"/>
      <c r="AG241" s="54"/>
      <c r="AH241" s="53"/>
      <c r="AI241" s="53" t="s">
        <v>1591</v>
      </c>
      <c r="AJ241" s="53" t="s">
        <v>1591</v>
      </c>
    </row>
    <row r="242" spans="1:36" s="3" customFormat="1" ht="84" x14ac:dyDescent="0.25">
      <c r="A242" s="17" t="s">
        <v>182</v>
      </c>
      <c r="B242" s="18" t="s">
        <v>312</v>
      </c>
      <c r="C242" s="19" t="s">
        <v>313</v>
      </c>
      <c r="D242" s="45" t="s">
        <v>314</v>
      </c>
      <c r="E242" s="50"/>
      <c r="F242" s="58"/>
      <c r="G242" s="51"/>
      <c r="H242" s="51"/>
      <c r="I242" s="50" t="s">
        <v>315</v>
      </c>
      <c r="J242" s="58" t="s">
        <v>316</v>
      </c>
      <c r="K242" s="52" t="s">
        <v>54</v>
      </c>
      <c r="L242" s="59">
        <v>41871</v>
      </c>
      <c r="M242" s="60">
        <f>L242+120</f>
        <v>41991</v>
      </c>
      <c r="N242" s="51">
        <v>170906.69</v>
      </c>
      <c r="O242" s="59">
        <v>41991</v>
      </c>
      <c r="P242" s="59">
        <f>M242+720</f>
        <v>42711</v>
      </c>
      <c r="Q242" s="51"/>
      <c r="R242" s="51">
        <f t="shared" si="7"/>
        <v>170906.69</v>
      </c>
      <c r="S242" s="51"/>
      <c r="T242" s="52" t="s">
        <v>52</v>
      </c>
      <c r="U242" s="51">
        <v>157366.34000000003</v>
      </c>
      <c r="V242" s="51" t="s">
        <v>46</v>
      </c>
      <c r="W242" s="51"/>
      <c r="X242" s="51">
        <v>76187.100000000006</v>
      </c>
      <c r="Y242" s="19" t="s">
        <v>4268</v>
      </c>
      <c r="Z242" s="19"/>
      <c r="AA242" s="28"/>
      <c r="AB242" s="56"/>
      <c r="AC242" s="28"/>
      <c r="AD242" s="28"/>
      <c r="AE242" s="54"/>
      <c r="AF242" s="54"/>
      <c r="AG242" s="54"/>
      <c r="AH242" s="53"/>
      <c r="AI242" s="53" t="s">
        <v>1591</v>
      </c>
      <c r="AJ242" s="53" t="s">
        <v>1591</v>
      </c>
    </row>
    <row r="243" spans="1:36" s="3" customFormat="1" ht="120" x14ac:dyDescent="0.25">
      <c r="A243" s="17" t="s">
        <v>182</v>
      </c>
      <c r="B243" s="18" t="s">
        <v>346</v>
      </c>
      <c r="C243" s="19" t="s">
        <v>608</v>
      </c>
      <c r="D243" s="45" t="s">
        <v>609</v>
      </c>
      <c r="E243" s="50" t="s">
        <v>610</v>
      </c>
      <c r="F243" s="58" t="s">
        <v>585</v>
      </c>
      <c r="G243" s="51">
        <v>16000000</v>
      </c>
      <c r="H243" s="51">
        <v>4000000</v>
      </c>
      <c r="I243" s="50" t="s">
        <v>3140</v>
      </c>
      <c r="J243" s="58" t="s">
        <v>3141</v>
      </c>
      <c r="K243" s="52" t="s">
        <v>2889</v>
      </c>
      <c r="L243" s="59">
        <v>42867</v>
      </c>
      <c r="M243" s="60">
        <f>L243+18*30</f>
        <v>43407</v>
      </c>
      <c r="N243" s="51">
        <v>18827896.989999998</v>
      </c>
      <c r="O243" s="59">
        <v>43597</v>
      </c>
      <c r="P243" s="59" t="s">
        <v>369</v>
      </c>
      <c r="Q243" s="51">
        <v>0</v>
      </c>
      <c r="R243" s="51">
        <f t="shared" si="7"/>
        <v>18827896.989999998</v>
      </c>
      <c r="S243" s="51">
        <v>0</v>
      </c>
      <c r="T243" s="52" t="s">
        <v>356</v>
      </c>
      <c r="U243" s="51">
        <v>1804199.09</v>
      </c>
      <c r="V243" s="51">
        <v>1804199.09</v>
      </c>
      <c r="W243" s="51">
        <v>1804199.09</v>
      </c>
      <c r="X243" s="51">
        <v>1804199.09</v>
      </c>
      <c r="Y243" s="19" t="s">
        <v>175</v>
      </c>
      <c r="Z243" s="19"/>
      <c r="AA243" s="28" t="s">
        <v>8514</v>
      </c>
      <c r="AB243" s="56">
        <v>43411</v>
      </c>
      <c r="AC243" s="28" t="s">
        <v>7284</v>
      </c>
      <c r="AD243" s="28" t="s">
        <v>7285</v>
      </c>
      <c r="AE243" s="54" t="s">
        <v>8248</v>
      </c>
      <c r="AF243" s="54"/>
      <c r="AG243" s="54" t="s">
        <v>8249</v>
      </c>
      <c r="AH243" s="53" t="s">
        <v>1591</v>
      </c>
      <c r="AI243" s="53" t="s">
        <v>2686</v>
      </c>
      <c r="AJ243" s="53" t="s">
        <v>1591</v>
      </c>
    </row>
    <row r="244" spans="1:36" s="3" customFormat="1" ht="72" x14ac:dyDescent="0.25">
      <c r="A244" s="17" t="s">
        <v>182</v>
      </c>
      <c r="B244" s="18" t="s">
        <v>346</v>
      </c>
      <c r="C244" s="19" t="s">
        <v>358</v>
      </c>
      <c r="D244" s="45" t="s">
        <v>359</v>
      </c>
      <c r="E244" s="50" t="s">
        <v>360</v>
      </c>
      <c r="F244" s="58" t="s">
        <v>350</v>
      </c>
      <c r="G244" s="51">
        <v>9750000</v>
      </c>
      <c r="H244" s="51">
        <v>5312132.4800000004</v>
      </c>
      <c r="I244" s="50" t="s">
        <v>361</v>
      </c>
      <c r="J244" s="58" t="s">
        <v>362</v>
      </c>
      <c r="K244" s="52" t="s">
        <v>363</v>
      </c>
      <c r="L244" s="59">
        <v>41130</v>
      </c>
      <c r="M244" s="60">
        <f>L244+365</f>
        <v>41495</v>
      </c>
      <c r="N244" s="51">
        <v>13323067.98</v>
      </c>
      <c r="O244" s="59">
        <v>41494</v>
      </c>
      <c r="P244" s="59" t="s">
        <v>365</v>
      </c>
      <c r="Q244" s="51"/>
      <c r="R244" s="51">
        <f t="shared" si="7"/>
        <v>13323067.98</v>
      </c>
      <c r="S244" s="51">
        <v>0</v>
      </c>
      <c r="T244" s="52" t="s">
        <v>356</v>
      </c>
      <c r="U244" s="51">
        <v>0</v>
      </c>
      <c r="V244" s="51">
        <v>0</v>
      </c>
      <c r="W244" s="51">
        <v>0</v>
      </c>
      <c r="X244" s="51">
        <v>9419941.2100000009</v>
      </c>
      <c r="Y244" s="19" t="s">
        <v>366</v>
      </c>
      <c r="Z244" s="19"/>
      <c r="AA244" s="28" t="s">
        <v>8514</v>
      </c>
      <c r="AB244" s="56">
        <v>43411</v>
      </c>
      <c r="AC244" s="28" t="s">
        <v>7284</v>
      </c>
      <c r="AD244" s="28" t="s">
        <v>7285</v>
      </c>
      <c r="AE244" s="54" t="s">
        <v>7286</v>
      </c>
      <c r="AF244" s="54"/>
      <c r="AG244" s="54" t="s">
        <v>7287</v>
      </c>
      <c r="AH244" s="53" t="s">
        <v>1591</v>
      </c>
      <c r="AI244" s="53" t="s">
        <v>2686</v>
      </c>
      <c r="AJ244" s="53" t="s">
        <v>1591</v>
      </c>
    </row>
    <row r="245" spans="1:36" s="3" customFormat="1" ht="72" x14ac:dyDescent="0.25">
      <c r="A245" s="17" t="s">
        <v>182</v>
      </c>
      <c r="B245" s="18" t="s">
        <v>346</v>
      </c>
      <c r="C245" s="19" t="s">
        <v>443</v>
      </c>
      <c r="D245" s="45" t="s">
        <v>444</v>
      </c>
      <c r="E245" s="50" t="s">
        <v>445</v>
      </c>
      <c r="F245" s="58" t="s">
        <v>446</v>
      </c>
      <c r="G245" s="51">
        <v>16575000</v>
      </c>
      <c r="H245" s="51">
        <v>872380</v>
      </c>
      <c r="I245" s="50" t="s">
        <v>63</v>
      </c>
      <c r="J245" s="58" t="s">
        <v>447</v>
      </c>
      <c r="K245" s="52" t="s">
        <v>439</v>
      </c>
      <c r="L245" s="59">
        <v>41655</v>
      </c>
      <c r="M245" s="60">
        <f>L245+360</f>
        <v>42015</v>
      </c>
      <c r="N245" s="51">
        <v>12318036.470000001</v>
      </c>
      <c r="O245" s="59"/>
      <c r="P245" s="59">
        <f>M245+186</f>
        <v>42201</v>
      </c>
      <c r="Q245" s="51"/>
      <c r="R245" s="51">
        <f t="shared" si="7"/>
        <v>12318036.470000001</v>
      </c>
      <c r="S245" s="51">
        <v>140653.6</v>
      </c>
      <c r="T245" s="52" t="s">
        <v>448</v>
      </c>
      <c r="U245" s="51">
        <v>2319328.4</v>
      </c>
      <c r="V245" s="51">
        <v>745729.06</v>
      </c>
      <c r="W245" s="51">
        <v>745729.06</v>
      </c>
      <c r="X245" s="51">
        <v>5571972.3600000003</v>
      </c>
      <c r="Y245" s="19" t="s">
        <v>575</v>
      </c>
      <c r="Z245" s="19"/>
      <c r="AA245" s="28" t="s">
        <v>8514</v>
      </c>
      <c r="AB245" s="56">
        <v>43411</v>
      </c>
      <c r="AC245" s="28" t="s">
        <v>7284</v>
      </c>
      <c r="AD245" s="28" t="s">
        <v>7285</v>
      </c>
      <c r="AE245" s="54" t="s">
        <v>7288</v>
      </c>
      <c r="AF245" s="54"/>
      <c r="AG245" s="54" t="s">
        <v>7289</v>
      </c>
      <c r="AH245" s="53" t="s">
        <v>1591</v>
      </c>
      <c r="AI245" s="53" t="s">
        <v>2686</v>
      </c>
      <c r="AJ245" s="53" t="s">
        <v>1591</v>
      </c>
    </row>
    <row r="246" spans="1:36" s="3" customFormat="1" ht="36" x14ac:dyDescent="0.25">
      <c r="A246" s="17" t="s">
        <v>182</v>
      </c>
      <c r="B246" s="18" t="s">
        <v>346</v>
      </c>
      <c r="C246" s="19" t="s">
        <v>347</v>
      </c>
      <c r="D246" s="45" t="s">
        <v>348</v>
      </c>
      <c r="E246" s="50" t="s">
        <v>349</v>
      </c>
      <c r="F246" s="58" t="s">
        <v>350</v>
      </c>
      <c r="G246" s="51">
        <v>4543500</v>
      </c>
      <c r="H246" s="51">
        <v>454350</v>
      </c>
      <c r="I246" s="50" t="s">
        <v>351</v>
      </c>
      <c r="J246" s="58" t="s">
        <v>352</v>
      </c>
      <c r="K246" s="52" t="s">
        <v>353</v>
      </c>
      <c r="L246" s="59">
        <v>40203</v>
      </c>
      <c r="M246" s="60">
        <f>L246+150</f>
        <v>40353</v>
      </c>
      <c r="N246" s="51">
        <v>4823944.3099999996</v>
      </c>
      <c r="O246" s="59">
        <v>40354</v>
      </c>
      <c r="P246" s="59" t="s">
        <v>355</v>
      </c>
      <c r="Q246" s="51"/>
      <c r="R246" s="51">
        <f t="shared" si="7"/>
        <v>4823944.3099999996</v>
      </c>
      <c r="S246" s="51">
        <v>0</v>
      </c>
      <c r="T246" s="52" t="s">
        <v>356</v>
      </c>
      <c r="U246" s="51">
        <v>0</v>
      </c>
      <c r="V246" s="51">
        <v>0</v>
      </c>
      <c r="W246" s="51">
        <v>0</v>
      </c>
      <c r="X246" s="51">
        <v>3066767.26</v>
      </c>
      <c r="Y246" s="19" t="s">
        <v>357</v>
      </c>
      <c r="Z246" s="19"/>
      <c r="AA246" s="28" t="s">
        <v>8514</v>
      </c>
      <c r="AB246" s="56">
        <v>43411</v>
      </c>
      <c r="AC246" s="28" t="s">
        <v>7284</v>
      </c>
      <c r="AD246" s="28" t="s">
        <v>7285</v>
      </c>
      <c r="AE246" s="54" t="s">
        <v>7290</v>
      </c>
      <c r="AF246" s="54"/>
      <c r="AG246" s="54" t="s">
        <v>7291</v>
      </c>
      <c r="AH246" s="53" t="s">
        <v>1591</v>
      </c>
      <c r="AI246" s="53" t="s">
        <v>2686</v>
      </c>
      <c r="AJ246" s="53" t="s">
        <v>1591</v>
      </c>
    </row>
    <row r="247" spans="1:36" s="3" customFormat="1" ht="48" x14ac:dyDescent="0.25">
      <c r="A247" s="17" t="s">
        <v>182</v>
      </c>
      <c r="B247" s="18" t="s">
        <v>346</v>
      </c>
      <c r="C247" s="19" t="s">
        <v>2523</v>
      </c>
      <c r="D247" s="45" t="s">
        <v>2524</v>
      </c>
      <c r="E247" s="50" t="s">
        <v>46</v>
      </c>
      <c r="F247" s="58" t="s">
        <v>46</v>
      </c>
      <c r="G247" s="51" t="s">
        <v>46</v>
      </c>
      <c r="H247" s="51" t="s">
        <v>46</v>
      </c>
      <c r="I247" s="50" t="s">
        <v>2347</v>
      </c>
      <c r="J247" s="58" t="s">
        <v>2525</v>
      </c>
      <c r="K247" s="52" t="s">
        <v>496</v>
      </c>
      <c r="L247" s="59">
        <v>41611</v>
      </c>
      <c r="M247" s="60">
        <f>L247+180</f>
        <v>41791</v>
      </c>
      <c r="N247" s="51">
        <v>4556598.97</v>
      </c>
      <c r="O247" s="59">
        <v>42965</v>
      </c>
      <c r="P247" s="59">
        <f>M247+1170</f>
        <v>42961</v>
      </c>
      <c r="Q247" s="51">
        <v>-51034.03</v>
      </c>
      <c r="R247" s="51">
        <f t="shared" si="7"/>
        <v>4505564.9399999995</v>
      </c>
      <c r="S247" s="51">
        <v>161836.01999999999</v>
      </c>
      <c r="T247" s="52" t="s">
        <v>45</v>
      </c>
      <c r="U247" s="51">
        <v>178295.98</v>
      </c>
      <c r="V247" s="51">
        <v>178295.98</v>
      </c>
      <c r="W247" s="51">
        <v>178295.98</v>
      </c>
      <c r="X247" s="51">
        <v>3304090.64</v>
      </c>
      <c r="Y247" s="19" t="s">
        <v>646</v>
      </c>
      <c r="Z247" s="19"/>
      <c r="AA247" s="28" t="s">
        <v>8514</v>
      </c>
      <c r="AB247" s="56">
        <v>43411</v>
      </c>
      <c r="AC247" s="28" t="s">
        <v>7284</v>
      </c>
      <c r="AD247" s="28" t="s">
        <v>7285</v>
      </c>
      <c r="AE247" s="54" t="s">
        <v>7290</v>
      </c>
      <c r="AF247" s="54"/>
      <c r="AG247" s="54" t="s">
        <v>7292</v>
      </c>
      <c r="AH247" s="53" t="s">
        <v>39</v>
      </c>
      <c r="AI247" s="53" t="s">
        <v>2686</v>
      </c>
      <c r="AJ247" s="53" t="s">
        <v>1591</v>
      </c>
    </row>
    <row r="248" spans="1:36" s="3" customFormat="1" ht="60" x14ac:dyDescent="0.25">
      <c r="A248" s="17" t="s">
        <v>182</v>
      </c>
      <c r="B248" s="18" t="s">
        <v>346</v>
      </c>
      <c r="C248" s="19" t="s">
        <v>2965</v>
      </c>
      <c r="D248" s="45"/>
      <c r="E248" s="50"/>
      <c r="F248" s="58"/>
      <c r="G248" s="51"/>
      <c r="H248" s="51"/>
      <c r="I248" s="50" t="s">
        <v>402</v>
      </c>
      <c r="J248" s="58" t="s">
        <v>3134</v>
      </c>
      <c r="K248" s="52" t="s">
        <v>191</v>
      </c>
      <c r="L248" s="59">
        <v>42534</v>
      </c>
      <c r="M248" s="60">
        <f>L248+120</f>
        <v>42654</v>
      </c>
      <c r="N248" s="51">
        <v>3057573.79</v>
      </c>
      <c r="O248" s="59">
        <v>42656</v>
      </c>
      <c r="P248" s="59">
        <f>M248+4*30</f>
        <v>42774</v>
      </c>
      <c r="Q248" s="51"/>
      <c r="R248" s="51">
        <f t="shared" si="7"/>
        <v>3057573.79</v>
      </c>
      <c r="S248" s="51">
        <v>0</v>
      </c>
      <c r="T248" s="52" t="s">
        <v>356</v>
      </c>
      <c r="U248" s="51">
        <v>592409.39</v>
      </c>
      <c r="V248" s="51">
        <v>592409.39</v>
      </c>
      <c r="W248" s="51">
        <v>592409.39</v>
      </c>
      <c r="X248" s="51">
        <v>592409.39</v>
      </c>
      <c r="Y248" s="19" t="s">
        <v>3334</v>
      </c>
      <c r="Z248" s="19" t="s">
        <v>4310</v>
      </c>
      <c r="AA248" s="28" t="s">
        <v>8514</v>
      </c>
      <c r="AB248" s="56">
        <v>43411</v>
      </c>
      <c r="AC248" s="28" t="s">
        <v>7284</v>
      </c>
      <c r="AD248" s="28" t="s">
        <v>7285</v>
      </c>
      <c r="AE248" s="54" t="s">
        <v>7293</v>
      </c>
      <c r="AF248" s="54"/>
      <c r="AG248" s="54" t="s">
        <v>7294</v>
      </c>
      <c r="AH248" s="53" t="s">
        <v>1591</v>
      </c>
      <c r="AI248" s="53" t="s">
        <v>2686</v>
      </c>
      <c r="AJ248" s="53" t="s">
        <v>1591</v>
      </c>
    </row>
    <row r="249" spans="1:36" s="3" customFormat="1" ht="96" x14ac:dyDescent="0.25">
      <c r="A249" s="17" t="s">
        <v>182</v>
      </c>
      <c r="B249" s="18" t="s">
        <v>346</v>
      </c>
      <c r="C249" s="19" t="s">
        <v>595</v>
      </c>
      <c r="D249" s="45" t="s">
        <v>596</v>
      </c>
      <c r="E249" s="50" t="s">
        <v>597</v>
      </c>
      <c r="F249" s="58" t="s">
        <v>585</v>
      </c>
      <c r="G249" s="51">
        <v>780000</v>
      </c>
      <c r="H249" s="51">
        <v>1040574.52</v>
      </c>
      <c r="I249" s="50" t="s">
        <v>3138</v>
      </c>
      <c r="J249" s="58" t="s">
        <v>3139</v>
      </c>
      <c r="K249" s="52" t="s">
        <v>2914</v>
      </c>
      <c r="L249" s="59">
        <v>40801</v>
      </c>
      <c r="M249" s="60" t="s">
        <v>368</v>
      </c>
      <c r="N249" s="51">
        <v>1490789.41</v>
      </c>
      <c r="O249" s="59" t="s">
        <v>368</v>
      </c>
      <c r="P249" s="59" t="s">
        <v>365</v>
      </c>
      <c r="Q249" s="51">
        <v>0</v>
      </c>
      <c r="R249" s="51">
        <f t="shared" si="7"/>
        <v>1490789.41</v>
      </c>
      <c r="S249" s="51">
        <v>0</v>
      </c>
      <c r="T249" s="52" t="s">
        <v>356</v>
      </c>
      <c r="U249" s="51">
        <v>0</v>
      </c>
      <c r="V249" s="51">
        <v>0</v>
      </c>
      <c r="W249" s="51">
        <v>0</v>
      </c>
      <c r="X249" s="51">
        <v>198234.67</v>
      </c>
      <c r="Y249" s="19" t="s">
        <v>1504</v>
      </c>
      <c r="Z249" s="19"/>
      <c r="AA249" s="28" t="s">
        <v>8514</v>
      </c>
      <c r="AB249" s="56">
        <v>43411</v>
      </c>
      <c r="AC249" s="28" t="s">
        <v>7284</v>
      </c>
      <c r="AD249" s="28" t="s">
        <v>7285</v>
      </c>
      <c r="AE249" s="54" t="s">
        <v>7296</v>
      </c>
      <c r="AF249" s="54"/>
      <c r="AG249" s="54" t="s">
        <v>7297</v>
      </c>
      <c r="AH249" s="53" t="s">
        <v>1591</v>
      </c>
      <c r="AI249" s="53" t="s">
        <v>2686</v>
      </c>
      <c r="AJ249" s="53" t="s">
        <v>1591</v>
      </c>
    </row>
    <row r="250" spans="1:36" s="3" customFormat="1" ht="84" x14ac:dyDescent="0.25">
      <c r="A250" s="35" t="s">
        <v>182</v>
      </c>
      <c r="B250" s="18" t="s">
        <v>346</v>
      </c>
      <c r="C250" s="19" t="s">
        <v>2964</v>
      </c>
      <c r="D250" s="43"/>
      <c r="E250" s="50"/>
      <c r="F250" s="36"/>
      <c r="G250" s="51"/>
      <c r="H250" s="51"/>
      <c r="I250" s="36" t="s">
        <v>402</v>
      </c>
      <c r="J250" s="34" t="s">
        <v>403</v>
      </c>
      <c r="K250" s="37" t="s">
        <v>218</v>
      </c>
      <c r="L250" s="38">
        <v>42320</v>
      </c>
      <c r="M250" s="39">
        <f>L250+120</f>
        <v>42440</v>
      </c>
      <c r="N250" s="42">
        <v>1349307.39</v>
      </c>
      <c r="O250" s="74">
        <v>42441</v>
      </c>
      <c r="P250" s="39">
        <f>M250+4*30</f>
        <v>42560</v>
      </c>
      <c r="Q250" s="41"/>
      <c r="R250" s="51">
        <f t="shared" si="7"/>
        <v>1349307.39</v>
      </c>
      <c r="S250" s="51">
        <v>0</v>
      </c>
      <c r="T250" s="52" t="s">
        <v>356</v>
      </c>
      <c r="U250" s="51">
        <v>678670.46</v>
      </c>
      <c r="V250" s="51">
        <v>678670.46</v>
      </c>
      <c r="W250" s="42">
        <v>678670.46</v>
      </c>
      <c r="X250" s="42">
        <v>678670.46</v>
      </c>
      <c r="Y250" s="34" t="s">
        <v>3334</v>
      </c>
      <c r="Z250" s="19" t="s">
        <v>4310</v>
      </c>
      <c r="AA250" s="28" t="s">
        <v>8514</v>
      </c>
      <c r="AB250" s="56">
        <v>43411</v>
      </c>
      <c r="AC250" s="28" t="s">
        <v>7284</v>
      </c>
      <c r="AD250" s="28" t="s">
        <v>7285</v>
      </c>
      <c r="AE250" s="54" t="s">
        <v>7293</v>
      </c>
      <c r="AF250" s="54"/>
      <c r="AG250" s="54" t="s">
        <v>7298</v>
      </c>
      <c r="AH250" s="53" t="s">
        <v>1591</v>
      </c>
      <c r="AI250" s="53" t="s">
        <v>2686</v>
      </c>
      <c r="AJ250" s="53" t="s">
        <v>1591</v>
      </c>
    </row>
    <row r="251" spans="1:36" s="3" customFormat="1" ht="72" x14ac:dyDescent="0.25">
      <c r="A251" s="17" t="s">
        <v>182</v>
      </c>
      <c r="B251" s="18" t="s">
        <v>346</v>
      </c>
      <c r="C251" s="19" t="s">
        <v>388</v>
      </c>
      <c r="D251" s="45" t="s">
        <v>389</v>
      </c>
      <c r="E251" s="50" t="s">
        <v>390</v>
      </c>
      <c r="F251" s="58" t="s">
        <v>350</v>
      </c>
      <c r="G251" s="51">
        <v>975000</v>
      </c>
      <c r="H251" s="51">
        <v>233735.03</v>
      </c>
      <c r="I251" s="50" t="s">
        <v>391</v>
      </c>
      <c r="J251" s="58" t="s">
        <v>392</v>
      </c>
      <c r="K251" s="52" t="s">
        <v>393</v>
      </c>
      <c r="L251" s="59">
        <v>41450</v>
      </c>
      <c r="M251" s="60">
        <f>L251+90</f>
        <v>41540</v>
      </c>
      <c r="N251" s="51">
        <v>1037686.18</v>
      </c>
      <c r="O251" s="59">
        <v>41726</v>
      </c>
      <c r="P251" s="59">
        <f>M251+6*30</f>
        <v>41720</v>
      </c>
      <c r="Q251" s="51"/>
      <c r="R251" s="51">
        <f t="shared" si="7"/>
        <v>1037686.18</v>
      </c>
      <c r="S251" s="51">
        <v>0</v>
      </c>
      <c r="T251" s="52" t="s">
        <v>356</v>
      </c>
      <c r="U251" s="51">
        <v>45411.17</v>
      </c>
      <c r="V251" s="51">
        <v>45411.17</v>
      </c>
      <c r="W251" s="51">
        <v>45411.17</v>
      </c>
      <c r="X251" s="51">
        <v>439063.86000000016</v>
      </c>
      <c r="Y251" s="19" t="s">
        <v>3333</v>
      </c>
      <c r="Z251" s="19"/>
      <c r="AA251" s="28" t="s">
        <v>8514</v>
      </c>
      <c r="AB251" s="56">
        <v>43411</v>
      </c>
      <c r="AC251" s="28" t="s">
        <v>7284</v>
      </c>
      <c r="AD251" s="28" t="s">
        <v>7285</v>
      </c>
      <c r="AE251" s="54" t="s">
        <v>7286</v>
      </c>
      <c r="AF251" s="54"/>
      <c r="AG251" s="54" t="s">
        <v>7295</v>
      </c>
      <c r="AH251" s="53" t="s">
        <v>1591</v>
      </c>
      <c r="AI251" s="53" t="s">
        <v>2686</v>
      </c>
      <c r="AJ251" s="53" t="s">
        <v>1591</v>
      </c>
    </row>
    <row r="252" spans="1:36" s="3" customFormat="1" ht="72" x14ac:dyDescent="0.25">
      <c r="A252" s="17" t="s">
        <v>182</v>
      </c>
      <c r="B252" s="18" t="s">
        <v>346</v>
      </c>
      <c r="C252" s="19" t="s">
        <v>598</v>
      </c>
      <c r="D252" s="45" t="s">
        <v>599</v>
      </c>
      <c r="E252" s="50" t="s">
        <v>600</v>
      </c>
      <c r="F252" s="58" t="s">
        <v>585</v>
      </c>
      <c r="G252" s="51">
        <v>780000</v>
      </c>
      <c r="H252" s="51">
        <v>104366.73</v>
      </c>
      <c r="I252" s="50" t="s">
        <v>402</v>
      </c>
      <c r="J252" s="58" t="s">
        <v>601</v>
      </c>
      <c r="K252" s="52" t="s">
        <v>126</v>
      </c>
      <c r="L252" s="59">
        <v>42265</v>
      </c>
      <c r="M252" s="60" t="s">
        <v>368</v>
      </c>
      <c r="N252" s="51">
        <v>875371.22</v>
      </c>
      <c r="O252" s="59" t="s">
        <v>368</v>
      </c>
      <c r="P252" s="59" t="s">
        <v>365</v>
      </c>
      <c r="Q252" s="51">
        <v>0</v>
      </c>
      <c r="R252" s="51">
        <f t="shared" si="7"/>
        <v>875371.22</v>
      </c>
      <c r="S252" s="51">
        <v>0</v>
      </c>
      <c r="T252" s="52" t="s">
        <v>356</v>
      </c>
      <c r="U252" s="51">
        <v>6058.62</v>
      </c>
      <c r="V252" s="51">
        <v>6058.62</v>
      </c>
      <c r="W252" s="51">
        <v>6058.62</v>
      </c>
      <c r="X252" s="51">
        <v>51336.060000000005</v>
      </c>
      <c r="Y252" s="19" t="s">
        <v>1504</v>
      </c>
      <c r="Z252" s="19"/>
      <c r="AA252" s="28" t="s">
        <v>8514</v>
      </c>
      <c r="AB252" s="56">
        <v>43411</v>
      </c>
      <c r="AC252" s="28" t="s">
        <v>7284</v>
      </c>
      <c r="AD252" s="28" t="s">
        <v>7285</v>
      </c>
      <c r="AE252" s="54" t="s">
        <v>7286</v>
      </c>
      <c r="AF252" s="54"/>
      <c r="AG252" s="54" t="s">
        <v>7295</v>
      </c>
      <c r="AH252" s="53" t="s">
        <v>1591</v>
      </c>
      <c r="AI252" s="53" t="s">
        <v>2686</v>
      </c>
      <c r="AJ252" s="53" t="s">
        <v>1591</v>
      </c>
    </row>
    <row r="253" spans="1:36" s="3" customFormat="1" ht="72" x14ac:dyDescent="0.25">
      <c r="A253" s="17" t="s">
        <v>182</v>
      </c>
      <c r="B253" s="18" t="s">
        <v>346</v>
      </c>
      <c r="C253" s="19" t="s">
        <v>2967</v>
      </c>
      <c r="D253" s="45" t="s">
        <v>586</v>
      </c>
      <c r="E253" s="50" t="s">
        <v>587</v>
      </c>
      <c r="F253" s="58" t="s">
        <v>585</v>
      </c>
      <c r="G253" s="51">
        <v>585000</v>
      </c>
      <c r="H253" s="51">
        <v>208662.28</v>
      </c>
      <c r="I253" s="50" t="s">
        <v>588</v>
      </c>
      <c r="J253" s="58" t="s">
        <v>589</v>
      </c>
      <c r="K253" s="52" t="s">
        <v>590</v>
      </c>
      <c r="L253" s="59" t="s">
        <v>368</v>
      </c>
      <c r="M253" s="60" t="s">
        <v>354</v>
      </c>
      <c r="N253" s="51">
        <v>793662.28</v>
      </c>
      <c r="O253" s="59" t="s">
        <v>368</v>
      </c>
      <c r="P253" s="59" t="s">
        <v>365</v>
      </c>
      <c r="Q253" s="51">
        <v>0</v>
      </c>
      <c r="R253" s="51">
        <f t="shared" si="7"/>
        <v>793662.28</v>
      </c>
      <c r="S253" s="51">
        <v>0</v>
      </c>
      <c r="T253" s="52" t="s">
        <v>356</v>
      </c>
      <c r="U253" s="51">
        <v>0</v>
      </c>
      <c r="V253" s="51">
        <v>0</v>
      </c>
      <c r="W253" s="51">
        <v>0</v>
      </c>
      <c r="X253" s="51">
        <v>439504.45</v>
      </c>
      <c r="Y253" s="19" t="s">
        <v>1504</v>
      </c>
      <c r="Z253" s="19"/>
      <c r="AA253" s="28" t="s">
        <v>8514</v>
      </c>
      <c r="AB253" s="56">
        <v>43411</v>
      </c>
      <c r="AC253" s="28" t="s">
        <v>7284</v>
      </c>
      <c r="AD253" s="28" t="s">
        <v>7285</v>
      </c>
      <c r="AE253" s="54" t="s">
        <v>7299</v>
      </c>
      <c r="AF253" s="54"/>
      <c r="AG253" s="54" t="s">
        <v>7300</v>
      </c>
      <c r="AH253" s="53" t="s">
        <v>1591</v>
      </c>
      <c r="AI253" s="53" t="s">
        <v>2686</v>
      </c>
      <c r="AJ253" s="53" t="s">
        <v>1591</v>
      </c>
    </row>
    <row r="254" spans="1:36" s="3" customFormat="1" ht="72" x14ac:dyDescent="0.25">
      <c r="A254" s="17" t="s">
        <v>182</v>
      </c>
      <c r="B254" s="18" t="s">
        <v>346</v>
      </c>
      <c r="C254" s="19" t="s">
        <v>404</v>
      </c>
      <c r="D254" s="45" t="s">
        <v>405</v>
      </c>
      <c r="E254" s="50" t="s">
        <v>406</v>
      </c>
      <c r="F254" s="58" t="s">
        <v>350</v>
      </c>
      <c r="G254" s="51">
        <v>975000</v>
      </c>
      <c r="H254" s="51">
        <v>51316</v>
      </c>
      <c r="I254" s="50" t="s">
        <v>407</v>
      </c>
      <c r="J254" s="58" t="s">
        <v>408</v>
      </c>
      <c r="K254" s="52" t="s">
        <v>409</v>
      </c>
      <c r="L254" s="59">
        <v>41214</v>
      </c>
      <c r="M254" s="60">
        <f>L254+46*30</f>
        <v>42594</v>
      </c>
      <c r="N254" s="51">
        <v>706503.28</v>
      </c>
      <c r="O254" s="59" t="s">
        <v>368</v>
      </c>
      <c r="P254" s="59" t="s">
        <v>365</v>
      </c>
      <c r="Q254" s="51"/>
      <c r="R254" s="51">
        <f t="shared" si="7"/>
        <v>706503.28</v>
      </c>
      <c r="S254" s="51">
        <v>0</v>
      </c>
      <c r="T254" s="52" t="s">
        <v>356</v>
      </c>
      <c r="U254" s="51">
        <v>0</v>
      </c>
      <c r="V254" s="51">
        <v>0</v>
      </c>
      <c r="W254" s="51">
        <v>0</v>
      </c>
      <c r="X254" s="51">
        <v>99976.25</v>
      </c>
      <c r="Y254" s="19" t="s">
        <v>175</v>
      </c>
      <c r="Z254" s="19"/>
      <c r="AA254" s="28" t="s">
        <v>8514</v>
      </c>
      <c r="AB254" s="56">
        <v>43411</v>
      </c>
      <c r="AC254" s="28" t="s">
        <v>7284</v>
      </c>
      <c r="AD254" s="28" t="s">
        <v>7285</v>
      </c>
      <c r="AE254" s="54" t="s">
        <v>7286</v>
      </c>
      <c r="AF254" s="54"/>
      <c r="AG254" s="54" t="s">
        <v>7295</v>
      </c>
      <c r="AH254" s="53" t="s">
        <v>39</v>
      </c>
      <c r="AI254" s="53" t="s">
        <v>2686</v>
      </c>
      <c r="AJ254" s="53" t="s">
        <v>1591</v>
      </c>
    </row>
    <row r="255" spans="1:36" s="3" customFormat="1" ht="72" x14ac:dyDescent="0.25">
      <c r="A255" s="17" t="s">
        <v>182</v>
      </c>
      <c r="B255" s="18" t="s">
        <v>346</v>
      </c>
      <c r="C255" s="19" t="s">
        <v>2963</v>
      </c>
      <c r="D255" s="45"/>
      <c r="E255" s="50"/>
      <c r="F255" s="58"/>
      <c r="G255" s="51"/>
      <c r="H255" s="51"/>
      <c r="I255" s="50" t="s">
        <v>3132</v>
      </c>
      <c r="J255" s="58" t="s">
        <v>3133</v>
      </c>
      <c r="K255" s="52" t="s">
        <v>2946</v>
      </c>
      <c r="L255" s="59">
        <v>42964</v>
      </c>
      <c r="M255" s="60">
        <f>L255+180</f>
        <v>43144</v>
      </c>
      <c r="N255" s="51">
        <v>540500.13</v>
      </c>
      <c r="O255" s="59" t="s">
        <v>3300</v>
      </c>
      <c r="P255" s="59">
        <f>M255+6*30</f>
        <v>43324</v>
      </c>
      <c r="Q255" s="51">
        <v>123735.03</v>
      </c>
      <c r="R255" s="51">
        <f t="shared" si="7"/>
        <v>664235.16</v>
      </c>
      <c r="S255" s="51">
        <v>0</v>
      </c>
      <c r="T255" s="52" t="s">
        <v>356</v>
      </c>
      <c r="U255" s="51">
        <v>19305.43</v>
      </c>
      <c r="V255" s="51">
        <v>19305.43</v>
      </c>
      <c r="W255" s="51">
        <v>19305.43</v>
      </c>
      <c r="X255" s="51">
        <v>19305.43</v>
      </c>
      <c r="Y255" s="19" t="s">
        <v>175</v>
      </c>
      <c r="Z255" s="19" t="s">
        <v>4310</v>
      </c>
      <c r="AA255" s="28" t="s">
        <v>8514</v>
      </c>
      <c r="AB255" s="56">
        <v>43411</v>
      </c>
      <c r="AC255" s="28" t="s">
        <v>7284</v>
      </c>
      <c r="AD255" s="28" t="s">
        <v>7285</v>
      </c>
      <c r="AE255" s="54" t="s">
        <v>7301</v>
      </c>
      <c r="AF255" s="54"/>
      <c r="AG255" s="54" t="s">
        <v>7302</v>
      </c>
      <c r="AH255" s="53" t="s">
        <v>1591</v>
      </c>
      <c r="AI255" s="53" t="s">
        <v>2686</v>
      </c>
      <c r="AJ255" s="53" t="s">
        <v>1591</v>
      </c>
    </row>
    <row r="256" spans="1:36" s="3" customFormat="1" ht="72" x14ac:dyDescent="0.25">
      <c r="A256" s="35" t="s">
        <v>182</v>
      </c>
      <c r="B256" s="18" t="s">
        <v>346</v>
      </c>
      <c r="C256" s="19" t="s">
        <v>411</v>
      </c>
      <c r="D256" s="43" t="s">
        <v>412</v>
      </c>
      <c r="E256" s="50" t="s">
        <v>413</v>
      </c>
      <c r="F256" s="36" t="s">
        <v>350</v>
      </c>
      <c r="G256" s="51">
        <v>682500</v>
      </c>
      <c r="H256" s="51">
        <v>35922</v>
      </c>
      <c r="I256" s="36" t="s">
        <v>402</v>
      </c>
      <c r="J256" s="34" t="s">
        <v>414</v>
      </c>
      <c r="K256" s="37" t="s">
        <v>410</v>
      </c>
      <c r="L256" s="38">
        <v>42293</v>
      </c>
      <c r="M256" s="39">
        <f>L256+180</f>
        <v>42473</v>
      </c>
      <c r="N256" s="42">
        <v>638337.97</v>
      </c>
      <c r="O256" s="74" t="s">
        <v>368</v>
      </c>
      <c r="P256" s="39" t="s">
        <v>365</v>
      </c>
      <c r="Q256" s="41"/>
      <c r="R256" s="51">
        <f t="shared" ref="R256:R272" si="8">N256+Q256</f>
        <v>638337.97</v>
      </c>
      <c r="S256" s="51">
        <v>0</v>
      </c>
      <c r="T256" s="52" t="s">
        <v>356</v>
      </c>
      <c r="U256" s="51">
        <v>52891.59</v>
      </c>
      <c r="V256" s="51">
        <v>52891.59</v>
      </c>
      <c r="W256" s="42">
        <v>52891.59</v>
      </c>
      <c r="X256" s="42">
        <v>345540.98</v>
      </c>
      <c r="Y256" s="34" t="s">
        <v>3334</v>
      </c>
      <c r="Z256" s="34"/>
      <c r="AA256" s="28" t="s">
        <v>8514</v>
      </c>
      <c r="AB256" s="56">
        <v>43411</v>
      </c>
      <c r="AC256" s="28" t="s">
        <v>7284</v>
      </c>
      <c r="AD256" s="28" t="s">
        <v>7285</v>
      </c>
      <c r="AE256" s="54" t="s">
        <v>7288</v>
      </c>
      <c r="AF256" s="54"/>
      <c r="AG256" s="54" t="s">
        <v>7303</v>
      </c>
      <c r="AH256" s="53" t="s">
        <v>1591</v>
      </c>
      <c r="AI256" s="53" t="s">
        <v>2686</v>
      </c>
      <c r="AJ256" s="53" t="s">
        <v>1591</v>
      </c>
    </row>
    <row r="257" spans="1:36" s="3" customFormat="1" ht="72" x14ac:dyDescent="0.25">
      <c r="A257" s="17" t="s">
        <v>182</v>
      </c>
      <c r="B257" s="18" t="s">
        <v>346</v>
      </c>
      <c r="C257" s="19" t="s">
        <v>371</v>
      </c>
      <c r="D257" s="45" t="s">
        <v>372</v>
      </c>
      <c r="E257" s="50" t="s">
        <v>373</v>
      </c>
      <c r="F257" s="58" t="s">
        <v>350</v>
      </c>
      <c r="G257" s="51">
        <v>487500</v>
      </c>
      <c r="H257" s="51">
        <v>54200</v>
      </c>
      <c r="I257" s="50" t="s">
        <v>374</v>
      </c>
      <c r="J257" s="58" t="s">
        <v>375</v>
      </c>
      <c r="K257" s="52" t="s">
        <v>376</v>
      </c>
      <c r="L257" s="59" t="s">
        <v>3131</v>
      </c>
      <c r="M257" s="60" t="s">
        <v>377</v>
      </c>
      <c r="N257" s="51">
        <v>536844.80000000005</v>
      </c>
      <c r="O257" s="59">
        <v>40510</v>
      </c>
      <c r="P257" s="59" t="s">
        <v>378</v>
      </c>
      <c r="Q257" s="51"/>
      <c r="R257" s="51">
        <f t="shared" si="8"/>
        <v>536844.80000000005</v>
      </c>
      <c r="S257" s="51">
        <v>0</v>
      </c>
      <c r="T257" s="52" t="s">
        <v>356</v>
      </c>
      <c r="U257" s="51">
        <v>0</v>
      </c>
      <c r="V257" s="51">
        <v>0</v>
      </c>
      <c r="W257" s="51">
        <v>0</v>
      </c>
      <c r="X257" s="51">
        <v>100702.03</v>
      </c>
      <c r="Y257" s="19" t="s">
        <v>3332</v>
      </c>
      <c r="Z257" s="19"/>
      <c r="AA257" s="28" t="s">
        <v>8514</v>
      </c>
      <c r="AB257" s="56">
        <v>43411</v>
      </c>
      <c r="AC257" s="28" t="s">
        <v>7284</v>
      </c>
      <c r="AD257" s="28" t="s">
        <v>7285</v>
      </c>
      <c r="AE257" s="54" t="s">
        <v>7304</v>
      </c>
      <c r="AF257" s="54"/>
      <c r="AG257" s="54" t="s">
        <v>7305</v>
      </c>
      <c r="AH257" s="53" t="s">
        <v>1591</v>
      </c>
      <c r="AI257" s="53" t="s">
        <v>2686</v>
      </c>
      <c r="AJ257" s="53" t="s">
        <v>1591</v>
      </c>
    </row>
    <row r="258" spans="1:36" s="3" customFormat="1" ht="72" x14ac:dyDescent="0.25">
      <c r="A258" s="17" t="s">
        <v>182</v>
      </c>
      <c r="B258" s="18" t="s">
        <v>346</v>
      </c>
      <c r="C258" s="19" t="s">
        <v>602</v>
      </c>
      <c r="D258" s="45" t="s">
        <v>603</v>
      </c>
      <c r="E258" s="50" t="s">
        <v>604</v>
      </c>
      <c r="F258" s="58" t="s">
        <v>585</v>
      </c>
      <c r="G258" s="51">
        <v>487500</v>
      </c>
      <c r="H258" s="51">
        <v>48750</v>
      </c>
      <c r="I258" s="50" t="s">
        <v>605</v>
      </c>
      <c r="J258" s="58" t="s">
        <v>606</v>
      </c>
      <c r="K258" s="52" t="s">
        <v>607</v>
      </c>
      <c r="L258" s="59">
        <v>41837</v>
      </c>
      <c r="M258" s="60">
        <f>L258+180</f>
        <v>42017</v>
      </c>
      <c r="N258" s="51">
        <v>464262.35</v>
      </c>
      <c r="O258" s="59">
        <v>42021</v>
      </c>
      <c r="P258" s="59" t="s">
        <v>369</v>
      </c>
      <c r="Q258" s="51">
        <v>71954.179999999993</v>
      </c>
      <c r="R258" s="51">
        <f t="shared" si="8"/>
        <v>536216.53</v>
      </c>
      <c r="S258" s="51">
        <v>0</v>
      </c>
      <c r="T258" s="52" t="s">
        <v>356</v>
      </c>
      <c r="U258" s="51">
        <v>22839.48</v>
      </c>
      <c r="V258" s="51">
        <v>22839.48</v>
      </c>
      <c r="W258" s="51">
        <v>22839.48</v>
      </c>
      <c r="X258" s="51">
        <v>274126.31</v>
      </c>
      <c r="Y258" s="19" t="s">
        <v>175</v>
      </c>
      <c r="Z258" s="19"/>
      <c r="AA258" s="28" t="s">
        <v>8514</v>
      </c>
      <c r="AB258" s="56">
        <v>43411</v>
      </c>
      <c r="AC258" s="28" t="s">
        <v>7284</v>
      </c>
      <c r="AD258" s="28" t="s">
        <v>7285</v>
      </c>
      <c r="AE258" s="54" t="s">
        <v>7304</v>
      </c>
      <c r="AF258" s="54"/>
      <c r="AG258" s="54" t="s">
        <v>7305</v>
      </c>
      <c r="AH258" s="53" t="s">
        <v>1591</v>
      </c>
      <c r="AI258" s="53" t="s">
        <v>2686</v>
      </c>
      <c r="AJ258" s="53" t="s">
        <v>1591</v>
      </c>
    </row>
    <row r="259" spans="1:36" s="3" customFormat="1" ht="72" x14ac:dyDescent="0.25">
      <c r="A259" s="17" t="s">
        <v>182</v>
      </c>
      <c r="B259" s="18" t="s">
        <v>346</v>
      </c>
      <c r="C259" s="19" t="s">
        <v>379</v>
      </c>
      <c r="D259" s="45" t="s">
        <v>380</v>
      </c>
      <c r="E259" s="50" t="s">
        <v>381</v>
      </c>
      <c r="F259" s="58" t="s">
        <v>350</v>
      </c>
      <c r="G259" s="51">
        <v>341250</v>
      </c>
      <c r="H259" s="51">
        <v>219476.86</v>
      </c>
      <c r="I259" s="50" t="s">
        <v>382</v>
      </c>
      <c r="J259" s="58" t="s">
        <v>383</v>
      </c>
      <c r="K259" s="52" t="s">
        <v>384</v>
      </c>
      <c r="L259" s="59">
        <v>40806</v>
      </c>
      <c r="M259" s="60">
        <f>L259+240</f>
        <v>41046</v>
      </c>
      <c r="N259" s="51">
        <v>385607</v>
      </c>
      <c r="O259" s="59">
        <v>41049</v>
      </c>
      <c r="P259" s="59">
        <f>M259+6*30</f>
        <v>41226</v>
      </c>
      <c r="Q259" s="51">
        <f>56029.01</f>
        <v>56029.01</v>
      </c>
      <c r="R259" s="51">
        <f t="shared" si="8"/>
        <v>441636.01</v>
      </c>
      <c r="S259" s="51">
        <v>0</v>
      </c>
      <c r="T259" s="52" t="s">
        <v>356</v>
      </c>
      <c r="U259" s="51">
        <v>0</v>
      </c>
      <c r="V259" s="51">
        <v>0</v>
      </c>
      <c r="W259" s="51">
        <v>0</v>
      </c>
      <c r="X259" s="51">
        <v>150941.04</v>
      </c>
      <c r="Y259" s="19" t="s">
        <v>385</v>
      </c>
      <c r="Z259" s="19"/>
      <c r="AA259" s="28" t="s">
        <v>8514</v>
      </c>
      <c r="AB259" s="56">
        <v>43411</v>
      </c>
      <c r="AC259" s="28" t="s">
        <v>7284</v>
      </c>
      <c r="AD259" s="28" t="s">
        <v>7285</v>
      </c>
      <c r="AE259" s="54" t="s">
        <v>7286</v>
      </c>
      <c r="AF259" s="54"/>
      <c r="AG259" s="54" t="s">
        <v>7306</v>
      </c>
      <c r="AH259" s="53" t="s">
        <v>1591</v>
      </c>
      <c r="AI259" s="53" t="s">
        <v>2686</v>
      </c>
      <c r="AJ259" s="53" t="s">
        <v>1591</v>
      </c>
    </row>
    <row r="260" spans="1:36" s="3" customFormat="1" ht="72" x14ac:dyDescent="0.25">
      <c r="A260" s="35" t="s">
        <v>182</v>
      </c>
      <c r="B260" s="18" t="s">
        <v>346</v>
      </c>
      <c r="C260" s="19" t="s">
        <v>415</v>
      </c>
      <c r="D260" s="43" t="s">
        <v>416</v>
      </c>
      <c r="E260" s="50" t="s">
        <v>417</v>
      </c>
      <c r="F260" s="36" t="s">
        <v>350</v>
      </c>
      <c r="G260" s="51">
        <v>390000</v>
      </c>
      <c r="H260" s="51">
        <v>20527</v>
      </c>
      <c r="I260" s="36" t="s">
        <v>418</v>
      </c>
      <c r="J260" s="34" t="s">
        <v>419</v>
      </c>
      <c r="K260" s="37" t="s">
        <v>83</v>
      </c>
      <c r="L260" s="38">
        <v>42293</v>
      </c>
      <c r="M260" s="39">
        <f>L260+150</f>
        <v>42443</v>
      </c>
      <c r="N260" s="42">
        <v>367855.54</v>
      </c>
      <c r="O260" s="74">
        <v>42455</v>
      </c>
      <c r="P260" s="39" t="s">
        <v>420</v>
      </c>
      <c r="Q260" s="41"/>
      <c r="R260" s="51">
        <f t="shared" si="8"/>
        <v>367855.54</v>
      </c>
      <c r="S260" s="51">
        <v>0</v>
      </c>
      <c r="T260" s="52" t="s">
        <v>356</v>
      </c>
      <c r="U260" s="51">
        <v>0</v>
      </c>
      <c r="V260" s="51">
        <v>0</v>
      </c>
      <c r="W260" s="42">
        <v>0</v>
      </c>
      <c r="X260" s="42">
        <v>310119.03000000003</v>
      </c>
      <c r="Y260" s="34" t="s">
        <v>175</v>
      </c>
      <c r="Z260" s="34"/>
      <c r="AA260" s="28" t="s">
        <v>8514</v>
      </c>
      <c r="AB260" s="56">
        <v>43411</v>
      </c>
      <c r="AC260" s="28" t="s">
        <v>7284</v>
      </c>
      <c r="AD260" s="28" t="s">
        <v>7285</v>
      </c>
      <c r="AE260" s="54" t="s">
        <v>7301</v>
      </c>
      <c r="AF260" s="54"/>
      <c r="AG260" s="54" t="s">
        <v>7307</v>
      </c>
      <c r="AH260" s="53" t="s">
        <v>39</v>
      </c>
      <c r="AI260" s="53" t="s">
        <v>2686</v>
      </c>
      <c r="AJ260" s="53" t="s">
        <v>1591</v>
      </c>
    </row>
    <row r="261" spans="1:36" s="3" customFormat="1" ht="120" x14ac:dyDescent="0.25">
      <c r="A261" s="17" t="s">
        <v>182</v>
      </c>
      <c r="B261" s="18" t="s">
        <v>346</v>
      </c>
      <c r="C261" s="19" t="s">
        <v>396</v>
      </c>
      <c r="D261" s="45" t="s">
        <v>397</v>
      </c>
      <c r="E261" s="50" t="s">
        <v>398</v>
      </c>
      <c r="F261" s="58" t="s">
        <v>350</v>
      </c>
      <c r="G261" s="51">
        <v>7000000</v>
      </c>
      <c r="H261" s="51">
        <v>368421.05</v>
      </c>
      <c r="I261" s="50" t="s">
        <v>399</v>
      </c>
      <c r="J261" s="58" t="s">
        <v>400</v>
      </c>
      <c r="K261" s="52" t="s">
        <v>401</v>
      </c>
      <c r="L261" s="59">
        <v>41609</v>
      </c>
      <c r="M261" s="60">
        <f>L261+210</f>
        <v>41819</v>
      </c>
      <c r="N261" s="51">
        <v>444842.4</v>
      </c>
      <c r="O261" s="59">
        <v>41831</v>
      </c>
      <c r="P261" s="59">
        <f>M261+7*30</f>
        <v>42029</v>
      </c>
      <c r="Q261" s="51">
        <v>-96726.92</v>
      </c>
      <c r="R261" s="51">
        <f t="shared" si="8"/>
        <v>348115.48000000004</v>
      </c>
      <c r="S261" s="51">
        <v>0</v>
      </c>
      <c r="T261" s="52" t="s">
        <v>356</v>
      </c>
      <c r="U261" s="51">
        <v>0</v>
      </c>
      <c r="V261" s="51">
        <v>0</v>
      </c>
      <c r="W261" s="51">
        <v>0</v>
      </c>
      <c r="X261" s="51">
        <v>245104.61</v>
      </c>
      <c r="Y261" s="19" t="s">
        <v>149</v>
      </c>
      <c r="Z261" s="19"/>
      <c r="AA261" s="28" t="s">
        <v>8514</v>
      </c>
      <c r="AB261" s="56">
        <v>43411</v>
      </c>
      <c r="AC261" s="28" t="s">
        <v>7284</v>
      </c>
      <c r="AD261" s="28" t="s">
        <v>7285</v>
      </c>
      <c r="AE261" s="54" t="s">
        <v>7308</v>
      </c>
      <c r="AF261" s="54"/>
      <c r="AG261" s="54" t="s">
        <v>7309</v>
      </c>
      <c r="AH261" s="53" t="s">
        <v>1591</v>
      </c>
      <c r="AI261" s="53" t="s">
        <v>2686</v>
      </c>
      <c r="AJ261" s="53" t="s">
        <v>1591</v>
      </c>
    </row>
    <row r="262" spans="1:36" s="3" customFormat="1" ht="36" x14ac:dyDescent="0.25">
      <c r="A262" s="35" t="s">
        <v>182</v>
      </c>
      <c r="B262" s="18" t="s">
        <v>346</v>
      </c>
      <c r="C262" s="19" t="s">
        <v>429</v>
      </c>
      <c r="D262" s="43"/>
      <c r="E262" s="50" t="s">
        <v>367</v>
      </c>
      <c r="F262" s="36" t="s">
        <v>369</v>
      </c>
      <c r="G262" s="51"/>
      <c r="H262" s="51"/>
      <c r="I262" s="36" t="s">
        <v>399</v>
      </c>
      <c r="J262" s="34" t="s">
        <v>430</v>
      </c>
      <c r="K262" s="37" t="s">
        <v>401</v>
      </c>
      <c r="L262" s="38">
        <v>41609</v>
      </c>
      <c r="M262" s="39">
        <f>L262+180</f>
        <v>41789</v>
      </c>
      <c r="N262" s="42">
        <v>209181.7</v>
      </c>
      <c r="O262" s="74">
        <v>41791</v>
      </c>
      <c r="P262" s="39" t="s">
        <v>365</v>
      </c>
      <c r="Q262" s="41"/>
      <c r="R262" s="51">
        <f t="shared" si="8"/>
        <v>209181.7</v>
      </c>
      <c r="S262" s="51">
        <v>0</v>
      </c>
      <c r="T262" s="52" t="s">
        <v>356</v>
      </c>
      <c r="U262" s="51">
        <v>0</v>
      </c>
      <c r="V262" s="51">
        <v>0</v>
      </c>
      <c r="W262" s="42">
        <v>0</v>
      </c>
      <c r="X262" s="42">
        <v>0</v>
      </c>
      <c r="Y262" s="34" t="s">
        <v>431</v>
      </c>
      <c r="Z262" s="19" t="s">
        <v>4310</v>
      </c>
      <c r="AA262" s="28" t="s">
        <v>8514</v>
      </c>
      <c r="AB262" s="56">
        <v>43411</v>
      </c>
      <c r="AC262" s="28" t="s">
        <v>7284</v>
      </c>
      <c r="AD262" s="28" t="s">
        <v>7285</v>
      </c>
      <c r="AE262" s="54" t="s">
        <v>7310</v>
      </c>
      <c r="AF262" s="54"/>
      <c r="AG262" s="54" t="s">
        <v>3302</v>
      </c>
      <c r="AH262" s="53" t="s">
        <v>1591</v>
      </c>
      <c r="AI262" s="53" t="s">
        <v>2686</v>
      </c>
      <c r="AJ262" s="53" t="s">
        <v>1591</v>
      </c>
    </row>
    <row r="263" spans="1:36" s="3" customFormat="1" ht="72" x14ac:dyDescent="0.25">
      <c r="A263" s="17" t="s">
        <v>182</v>
      </c>
      <c r="B263" s="18" t="s">
        <v>346</v>
      </c>
      <c r="C263" s="19" t="s">
        <v>424</v>
      </c>
      <c r="D263" s="45" t="s">
        <v>425</v>
      </c>
      <c r="E263" s="50" t="s">
        <v>426</v>
      </c>
      <c r="F263" s="58" t="s">
        <v>350</v>
      </c>
      <c r="G263" s="51">
        <v>131625</v>
      </c>
      <c r="H263" s="51">
        <v>26998</v>
      </c>
      <c r="I263" s="50" t="s">
        <v>382</v>
      </c>
      <c r="J263" s="58" t="s">
        <v>383</v>
      </c>
      <c r="K263" s="52" t="s">
        <v>427</v>
      </c>
      <c r="L263" s="59">
        <v>40974</v>
      </c>
      <c r="M263" s="60">
        <f>L263+120</f>
        <v>41094</v>
      </c>
      <c r="N263" s="51">
        <v>149010.95000000001</v>
      </c>
      <c r="O263" s="59">
        <v>40956</v>
      </c>
      <c r="P263" s="59" t="s">
        <v>365</v>
      </c>
      <c r="Q263" s="51"/>
      <c r="R263" s="51">
        <f t="shared" si="8"/>
        <v>149010.95000000001</v>
      </c>
      <c r="S263" s="51">
        <v>0</v>
      </c>
      <c r="T263" s="52" t="s">
        <v>356</v>
      </c>
      <c r="U263" s="51">
        <v>0</v>
      </c>
      <c r="V263" s="51">
        <v>0</v>
      </c>
      <c r="W263" s="51">
        <v>0</v>
      </c>
      <c r="X263" s="51">
        <v>0</v>
      </c>
      <c r="Y263" s="19" t="s">
        <v>428</v>
      </c>
      <c r="Z263" s="19"/>
      <c r="AA263" s="28" t="s">
        <v>8514</v>
      </c>
      <c r="AB263" s="56">
        <v>43411</v>
      </c>
      <c r="AC263" s="28" t="s">
        <v>7284</v>
      </c>
      <c r="AD263" s="28" t="s">
        <v>7285</v>
      </c>
      <c r="AE263" s="54" t="s">
        <v>7311</v>
      </c>
      <c r="AF263" s="54"/>
      <c r="AG263" s="54" t="s">
        <v>7312</v>
      </c>
      <c r="AH263" s="53" t="s">
        <v>1591</v>
      </c>
      <c r="AI263" s="53" t="s">
        <v>2686</v>
      </c>
      <c r="AJ263" s="53" t="s">
        <v>1591</v>
      </c>
    </row>
    <row r="264" spans="1:36" s="3" customFormat="1" ht="60" x14ac:dyDescent="0.25">
      <c r="A264" s="17" t="s">
        <v>182</v>
      </c>
      <c r="B264" s="18" t="s">
        <v>346</v>
      </c>
      <c r="C264" s="19" t="s">
        <v>2966</v>
      </c>
      <c r="D264" s="45" t="s">
        <v>583</v>
      </c>
      <c r="E264" s="50" t="s">
        <v>584</v>
      </c>
      <c r="F264" s="58" t="s">
        <v>585</v>
      </c>
      <c r="G264" s="51">
        <v>146250</v>
      </c>
      <c r="H264" s="51">
        <v>77212.399999999994</v>
      </c>
      <c r="I264" s="50" t="s">
        <v>3136</v>
      </c>
      <c r="J264" s="58" t="s">
        <v>3137</v>
      </c>
      <c r="K264" s="52" t="s">
        <v>564</v>
      </c>
      <c r="L264" s="59" t="s">
        <v>368</v>
      </c>
      <c r="M264" s="60" t="s">
        <v>423</v>
      </c>
      <c r="N264" s="51">
        <v>95941.9</v>
      </c>
      <c r="O264" s="59" t="s">
        <v>368</v>
      </c>
      <c r="P264" s="59" t="s">
        <v>365</v>
      </c>
      <c r="Q264" s="51">
        <v>10660.18</v>
      </c>
      <c r="R264" s="51">
        <f t="shared" si="8"/>
        <v>106602.07999999999</v>
      </c>
      <c r="S264" s="51">
        <v>0</v>
      </c>
      <c r="T264" s="52" t="s">
        <v>356</v>
      </c>
      <c r="U264" s="51">
        <v>0</v>
      </c>
      <c r="V264" s="51">
        <v>0</v>
      </c>
      <c r="W264" s="51">
        <v>0</v>
      </c>
      <c r="X264" s="51">
        <v>106602.08</v>
      </c>
      <c r="Y264" s="19" t="s">
        <v>1504</v>
      </c>
      <c r="Z264" s="19"/>
      <c r="AA264" s="28" t="s">
        <v>8514</v>
      </c>
      <c r="AB264" s="56">
        <v>43411</v>
      </c>
      <c r="AC264" s="28" t="s">
        <v>7284</v>
      </c>
      <c r="AD264" s="28" t="s">
        <v>7285</v>
      </c>
      <c r="AE264" s="54" t="s">
        <v>7311</v>
      </c>
      <c r="AF264" s="54"/>
      <c r="AG264" s="54" t="s">
        <v>7300</v>
      </c>
      <c r="AH264" s="53" t="s">
        <v>1591</v>
      </c>
      <c r="AI264" s="53" t="s">
        <v>2686</v>
      </c>
      <c r="AJ264" s="53" t="s">
        <v>1591</v>
      </c>
    </row>
    <row r="265" spans="1:36" s="3" customFormat="1" ht="96" x14ac:dyDescent="0.25">
      <c r="A265" s="17" t="s">
        <v>182</v>
      </c>
      <c r="B265" s="18" t="s">
        <v>346</v>
      </c>
      <c r="C265" s="19" t="s">
        <v>2968</v>
      </c>
      <c r="D265" s="45" t="s">
        <v>2969</v>
      </c>
      <c r="E265" s="50" t="s">
        <v>369</v>
      </c>
      <c r="F265" s="58" t="s">
        <v>410</v>
      </c>
      <c r="G265" s="51"/>
      <c r="H265" s="51">
        <v>77967.98</v>
      </c>
      <c r="I265" s="50" t="s">
        <v>440</v>
      </c>
      <c r="J265" s="58" t="s">
        <v>441</v>
      </c>
      <c r="K265" s="52" t="s">
        <v>442</v>
      </c>
      <c r="L265" s="59">
        <v>42671</v>
      </c>
      <c r="M265" s="60">
        <f>L265+90</f>
        <v>42761</v>
      </c>
      <c r="N265" s="51">
        <v>77967.98</v>
      </c>
      <c r="O265" s="59" t="s">
        <v>368</v>
      </c>
      <c r="P265" s="59" t="s">
        <v>369</v>
      </c>
      <c r="Q265" s="51">
        <v>0</v>
      </c>
      <c r="R265" s="51">
        <f t="shared" si="8"/>
        <v>77967.98</v>
      </c>
      <c r="S265" s="51">
        <v>0</v>
      </c>
      <c r="T265" s="52" t="s">
        <v>356</v>
      </c>
      <c r="U265" s="51">
        <v>35166.480000000003</v>
      </c>
      <c r="V265" s="51">
        <v>35166.480000000003</v>
      </c>
      <c r="W265" s="51">
        <v>35166.480000000003</v>
      </c>
      <c r="X265" s="51">
        <v>35166.480000000003</v>
      </c>
      <c r="Y265" s="19" t="s">
        <v>1504</v>
      </c>
      <c r="Z265" s="19"/>
      <c r="AA265" s="28" t="s">
        <v>8514</v>
      </c>
      <c r="AB265" s="56">
        <v>43411</v>
      </c>
      <c r="AC265" s="28" t="s">
        <v>7284</v>
      </c>
      <c r="AD265" s="28" t="s">
        <v>7285</v>
      </c>
      <c r="AE265" s="54" t="s">
        <v>7311</v>
      </c>
      <c r="AF265" s="54"/>
      <c r="AG265" s="54" t="s">
        <v>7300</v>
      </c>
      <c r="AH265" s="53" t="s">
        <v>1591</v>
      </c>
      <c r="AI265" s="53" t="s">
        <v>2686</v>
      </c>
      <c r="AJ265" s="53" t="s">
        <v>1591</v>
      </c>
    </row>
    <row r="266" spans="1:36" s="3" customFormat="1" ht="60" x14ac:dyDescent="0.25">
      <c r="A266" s="17" t="s">
        <v>182</v>
      </c>
      <c r="B266" s="18" t="s">
        <v>4107</v>
      </c>
      <c r="C266" s="19" t="s">
        <v>4108</v>
      </c>
      <c r="D266" s="45" t="s">
        <v>2470</v>
      </c>
      <c r="E266" s="50" t="s">
        <v>2471</v>
      </c>
      <c r="F266" s="58" t="s">
        <v>2460</v>
      </c>
      <c r="G266" s="51">
        <v>91428513.739999995</v>
      </c>
      <c r="H266" s="51">
        <v>98593271.900000006</v>
      </c>
      <c r="I266" s="50" t="s">
        <v>2472</v>
      </c>
      <c r="J266" s="58" t="s">
        <v>2473</v>
      </c>
      <c r="K266" s="52" t="s">
        <v>2474</v>
      </c>
      <c r="L266" s="59">
        <v>41390</v>
      </c>
      <c r="M266" s="60">
        <f>L266+21*30</f>
        <v>42020</v>
      </c>
      <c r="N266" s="51">
        <v>101488639.09</v>
      </c>
      <c r="O266" s="59"/>
      <c r="P266" s="59">
        <v>42306</v>
      </c>
      <c r="Q266" s="51">
        <v>309259.89</v>
      </c>
      <c r="R266" s="51">
        <f t="shared" si="8"/>
        <v>101797898.98</v>
      </c>
      <c r="S266" s="51"/>
      <c r="T266" s="52"/>
      <c r="U266" s="51"/>
      <c r="V266" s="51">
        <v>56482.400000000001</v>
      </c>
      <c r="W266" s="51">
        <v>56482.400000000001</v>
      </c>
      <c r="X266" s="51"/>
      <c r="Y266" s="19" t="s">
        <v>2475</v>
      </c>
      <c r="Z266" s="19"/>
      <c r="AA266" s="28" t="s">
        <v>8472</v>
      </c>
      <c r="AB266" s="56">
        <v>43403</v>
      </c>
      <c r="AC266" s="28" t="s">
        <v>7313</v>
      </c>
      <c r="AD266" s="28" t="s">
        <v>7314</v>
      </c>
      <c r="AE266" s="54" t="s">
        <v>7315</v>
      </c>
      <c r="AF266" s="54"/>
      <c r="AG266" s="54" t="s">
        <v>7237</v>
      </c>
      <c r="AH266" s="53" t="s">
        <v>1591</v>
      </c>
      <c r="AI266" s="53" t="s">
        <v>2686</v>
      </c>
      <c r="AJ266" s="53" t="s">
        <v>1591</v>
      </c>
    </row>
    <row r="267" spans="1:36" s="3" customFormat="1" ht="72" x14ac:dyDescent="0.25">
      <c r="A267" s="17" t="s">
        <v>182</v>
      </c>
      <c r="B267" s="18" t="s">
        <v>4107</v>
      </c>
      <c r="C267" s="19" t="s">
        <v>4108</v>
      </c>
      <c r="D267" s="45" t="s">
        <v>2478</v>
      </c>
      <c r="E267" s="50" t="s">
        <v>2471</v>
      </c>
      <c r="F267" s="58" t="s">
        <v>2460</v>
      </c>
      <c r="G267" s="51"/>
      <c r="H267" s="51"/>
      <c r="I267" s="50" t="s">
        <v>2472</v>
      </c>
      <c r="J267" s="58" t="s">
        <v>2473</v>
      </c>
      <c r="K267" s="52" t="s">
        <v>454</v>
      </c>
      <c r="L267" s="59">
        <v>41533</v>
      </c>
      <c r="M267" s="60">
        <f>L267+8*30</f>
        <v>41773</v>
      </c>
      <c r="N267" s="51">
        <v>94548504.200000003</v>
      </c>
      <c r="O267" s="59"/>
      <c r="P267" s="59">
        <v>42418</v>
      </c>
      <c r="Q267" s="51"/>
      <c r="R267" s="51">
        <f t="shared" si="8"/>
        <v>94548504.200000003</v>
      </c>
      <c r="S267" s="51"/>
      <c r="T267" s="52"/>
      <c r="U267" s="51"/>
      <c r="V267" s="51">
        <v>29609.86</v>
      </c>
      <c r="W267" s="51">
        <v>29609.86</v>
      </c>
      <c r="X267" s="51"/>
      <c r="Y267" s="19" t="s">
        <v>2475</v>
      </c>
      <c r="Z267" s="19"/>
      <c r="AA267" s="28" t="s">
        <v>8472</v>
      </c>
      <c r="AB267" s="56">
        <v>43403</v>
      </c>
      <c r="AC267" s="28" t="s">
        <v>7313</v>
      </c>
      <c r="AD267" s="28" t="s">
        <v>7314</v>
      </c>
      <c r="AE267" s="54"/>
      <c r="AF267" s="54"/>
      <c r="AG267" s="54" t="s">
        <v>7316</v>
      </c>
      <c r="AH267" s="53" t="s">
        <v>1591</v>
      </c>
      <c r="AI267" s="53" t="s">
        <v>2686</v>
      </c>
      <c r="AJ267" s="53" t="s">
        <v>1591</v>
      </c>
    </row>
    <row r="268" spans="1:36" s="3" customFormat="1" ht="48" x14ac:dyDescent="0.25">
      <c r="A268" s="17" t="s">
        <v>182</v>
      </c>
      <c r="B268" s="18" t="s">
        <v>4107</v>
      </c>
      <c r="C268" s="19" t="s">
        <v>2448</v>
      </c>
      <c r="D268" s="45" t="s">
        <v>2449</v>
      </c>
      <c r="E268" s="50" t="s">
        <v>2450</v>
      </c>
      <c r="F268" s="58" t="s">
        <v>2451</v>
      </c>
      <c r="G268" s="51">
        <v>47900000</v>
      </c>
      <c r="H268" s="51"/>
      <c r="I268" s="50" t="s">
        <v>2452</v>
      </c>
      <c r="J268" s="58" t="s">
        <v>2453</v>
      </c>
      <c r="K268" s="52" t="s">
        <v>2454</v>
      </c>
      <c r="L268" s="59">
        <v>41128</v>
      </c>
      <c r="M268" s="60">
        <f>L268+12*30</f>
        <v>41488</v>
      </c>
      <c r="N268" s="51">
        <v>9416968.1699999999</v>
      </c>
      <c r="O268" s="59"/>
      <c r="P268" s="59">
        <v>42095</v>
      </c>
      <c r="Q268" s="51">
        <v>2340145.2599999998</v>
      </c>
      <c r="R268" s="51">
        <f t="shared" si="8"/>
        <v>11757113.43</v>
      </c>
      <c r="S268" s="51"/>
      <c r="T268" s="52"/>
      <c r="U268" s="51"/>
      <c r="V268" s="51">
        <v>0</v>
      </c>
      <c r="W268" s="51">
        <v>0</v>
      </c>
      <c r="X268" s="51"/>
      <c r="Y268" s="19" t="s">
        <v>149</v>
      </c>
      <c r="Z268" s="19"/>
      <c r="AA268" s="28" t="s">
        <v>8472</v>
      </c>
      <c r="AB268" s="56">
        <v>43403</v>
      </c>
      <c r="AC268" s="28" t="s">
        <v>7313</v>
      </c>
      <c r="AD268" s="28" t="s">
        <v>7314</v>
      </c>
      <c r="AE268" s="54" t="s">
        <v>7317</v>
      </c>
      <c r="AF268" s="54"/>
      <c r="AG268" s="54" t="s">
        <v>7318</v>
      </c>
      <c r="AH268" s="53" t="s">
        <v>1591</v>
      </c>
      <c r="AI268" s="53" t="s">
        <v>2686</v>
      </c>
      <c r="AJ268" s="53" t="s">
        <v>1591</v>
      </c>
    </row>
    <row r="269" spans="1:36" s="3" customFormat="1" ht="48" x14ac:dyDescent="0.25">
      <c r="A269" s="17" t="s">
        <v>182</v>
      </c>
      <c r="B269" s="18" t="s">
        <v>4107</v>
      </c>
      <c r="C269" s="19" t="s">
        <v>2457</v>
      </c>
      <c r="D269" s="45" t="s">
        <v>2458</v>
      </c>
      <c r="E269" s="50" t="s">
        <v>2459</v>
      </c>
      <c r="F269" s="58" t="s">
        <v>2460</v>
      </c>
      <c r="G269" s="51">
        <v>19778600</v>
      </c>
      <c r="H269" s="51">
        <v>2916915.01</v>
      </c>
      <c r="I269" s="50" t="s">
        <v>481</v>
      </c>
      <c r="J269" s="58" t="s">
        <v>2461</v>
      </c>
      <c r="K269" s="52" t="s">
        <v>2462</v>
      </c>
      <c r="L269" s="59">
        <v>40112</v>
      </c>
      <c r="M269" s="60">
        <f>L269+12*30</f>
        <v>40472</v>
      </c>
      <c r="N269" s="51">
        <v>8049991.6399999997</v>
      </c>
      <c r="O269" s="59"/>
      <c r="P269" s="59">
        <v>42614</v>
      </c>
      <c r="Q269" s="51">
        <v>2744245.61</v>
      </c>
      <c r="R269" s="51">
        <f t="shared" si="8"/>
        <v>10794237.25</v>
      </c>
      <c r="S269" s="51"/>
      <c r="T269" s="52"/>
      <c r="U269" s="51"/>
      <c r="V269" s="51">
        <v>307605.37</v>
      </c>
      <c r="W269" s="51">
        <v>307605.37</v>
      </c>
      <c r="X269" s="51"/>
      <c r="Y269" s="19" t="s">
        <v>175</v>
      </c>
      <c r="Z269" s="19"/>
      <c r="AA269" s="28" t="s">
        <v>8472</v>
      </c>
      <c r="AB269" s="56">
        <v>43403</v>
      </c>
      <c r="AC269" s="28" t="s">
        <v>7313</v>
      </c>
      <c r="AD269" s="28" t="s">
        <v>7314</v>
      </c>
      <c r="AE269" s="54" t="s">
        <v>7319</v>
      </c>
      <c r="AF269" s="54"/>
      <c r="AG269" s="54" t="s">
        <v>7320</v>
      </c>
      <c r="AH269" s="53" t="s">
        <v>1591</v>
      </c>
      <c r="AI269" s="53" t="s">
        <v>2686</v>
      </c>
      <c r="AJ269" s="53" t="s">
        <v>1591</v>
      </c>
    </row>
    <row r="270" spans="1:36" s="3" customFormat="1" ht="48" x14ac:dyDescent="0.25">
      <c r="A270" s="17" t="s">
        <v>182</v>
      </c>
      <c r="B270" s="18" t="s">
        <v>4107</v>
      </c>
      <c r="C270" s="19" t="s">
        <v>2467</v>
      </c>
      <c r="D270" s="45" t="s">
        <v>2468</v>
      </c>
      <c r="E270" s="50"/>
      <c r="F270" s="58" t="s">
        <v>2469</v>
      </c>
      <c r="G270" s="51"/>
      <c r="H270" s="51"/>
      <c r="I270" s="50" t="s">
        <v>469</v>
      </c>
      <c r="J270" s="58" t="s">
        <v>470</v>
      </c>
      <c r="K270" s="52" t="s">
        <v>803</v>
      </c>
      <c r="L270" s="59">
        <v>41218</v>
      </c>
      <c r="M270" s="60">
        <f>L270+11*30</f>
        <v>41548</v>
      </c>
      <c r="N270" s="51">
        <v>7805330.75</v>
      </c>
      <c r="O270" s="59"/>
      <c r="P270" s="59">
        <v>42629</v>
      </c>
      <c r="Q270" s="51">
        <v>1918310.97</v>
      </c>
      <c r="R270" s="51">
        <f t="shared" si="8"/>
        <v>9723641.7200000007</v>
      </c>
      <c r="S270" s="51"/>
      <c r="T270" s="52"/>
      <c r="U270" s="51"/>
      <c r="V270" s="51">
        <v>0</v>
      </c>
      <c r="W270" s="51">
        <v>0</v>
      </c>
      <c r="X270" s="51"/>
      <c r="Y270" s="19" t="s">
        <v>149</v>
      </c>
      <c r="Z270" s="19"/>
      <c r="AA270" s="28" t="s">
        <v>8472</v>
      </c>
      <c r="AB270" s="56">
        <v>43403</v>
      </c>
      <c r="AC270" s="28" t="s">
        <v>7313</v>
      </c>
      <c r="AD270" s="28" t="s">
        <v>7314</v>
      </c>
      <c r="AE270" s="54" t="s">
        <v>7321</v>
      </c>
      <c r="AF270" s="54"/>
      <c r="AG270" s="54" t="s">
        <v>7322</v>
      </c>
      <c r="AH270" s="53" t="s">
        <v>1591</v>
      </c>
      <c r="AI270" s="53" t="s">
        <v>2686</v>
      </c>
      <c r="AJ270" s="53" t="s">
        <v>1591</v>
      </c>
    </row>
    <row r="271" spans="1:36" s="3" customFormat="1" ht="48" x14ac:dyDescent="0.25">
      <c r="A271" s="35" t="s">
        <v>182</v>
      </c>
      <c r="B271" s="34" t="s">
        <v>4107</v>
      </c>
      <c r="C271" s="19" t="s">
        <v>1177</v>
      </c>
      <c r="D271" s="43" t="s">
        <v>2455</v>
      </c>
      <c r="E271" s="50" t="s">
        <v>2450</v>
      </c>
      <c r="F271" s="36" t="s">
        <v>2451</v>
      </c>
      <c r="G271" s="51">
        <v>47900000</v>
      </c>
      <c r="H271" s="51"/>
      <c r="I271" s="36" t="s">
        <v>262</v>
      </c>
      <c r="J271" s="34" t="s">
        <v>2456</v>
      </c>
      <c r="K271" s="37">
        <v>911018</v>
      </c>
      <c r="L271" s="38">
        <v>41246</v>
      </c>
      <c r="M271" s="39">
        <f>L271+12*30</f>
        <v>41606</v>
      </c>
      <c r="N271" s="42">
        <v>3787745.01</v>
      </c>
      <c r="O271" s="74"/>
      <c r="P271" s="39">
        <v>42300</v>
      </c>
      <c r="Q271" s="41">
        <v>684804.94</v>
      </c>
      <c r="R271" s="51">
        <f t="shared" si="8"/>
        <v>4472549.9499999993</v>
      </c>
      <c r="S271" s="51"/>
      <c r="T271" s="52"/>
      <c r="U271" s="51"/>
      <c r="V271" s="51">
        <v>0</v>
      </c>
      <c r="W271" s="42">
        <v>0</v>
      </c>
      <c r="X271" s="42"/>
      <c r="Y271" s="34" t="s">
        <v>149</v>
      </c>
      <c r="Z271" s="34"/>
      <c r="AA271" s="28" t="s">
        <v>8472</v>
      </c>
      <c r="AB271" s="56">
        <v>43403</v>
      </c>
      <c r="AC271" s="28" t="s">
        <v>7313</v>
      </c>
      <c r="AD271" s="28" t="s">
        <v>7314</v>
      </c>
      <c r="AE271" s="54" t="s">
        <v>7317</v>
      </c>
      <c r="AF271" s="54"/>
      <c r="AG271" s="54" t="s">
        <v>7323</v>
      </c>
      <c r="AH271" s="53" t="s">
        <v>1591</v>
      </c>
      <c r="AI271" s="53" t="s">
        <v>2686</v>
      </c>
      <c r="AJ271" s="53" t="s">
        <v>1591</v>
      </c>
    </row>
    <row r="272" spans="1:36" s="3" customFormat="1" ht="48" x14ac:dyDescent="0.25">
      <c r="A272" s="17" t="s">
        <v>182</v>
      </c>
      <c r="B272" s="18" t="s">
        <v>4107</v>
      </c>
      <c r="C272" s="19" t="s">
        <v>2457</v>
      </c>
      <c r="D272" s="45" t="s">
        <v>2463</v>
      </c>
      <c r="E272" s="50" t="s">
        <v>2459</v>
      </c>
      <c r="F272" s="58" t="s">
        <v>2460</v>
      </c>
      <c r="G272" s="51">
        <v>19778600</v>
      </c>
      <c r="H272" s="51">
        <v>2916915.01</v>
      </c>
      <c r="I272" s="50" t="s">
        <v>2464</v>
      </c>
      <c r="J272" s="58" t="s">
        <v>2465</v>
      </c>
      <c r="K272" s="52" t="s">
        <v>2466</v>
      </c>
      <c r="L272" s="59">
        <v>40147</v>
      </c>
      <c r="M272" s="60">
        <f>L272+12*30</f>
        <v>40507</v>
      </c>
      <c r="N272" s="51">
        <v>3346285.02</v>
      </c>
      <c r="O272" s="59">
        <v>40714</v>
      </c>
      <c r="P272" s="59">
        <v>41250</v>
      </c>
      <c r="Q272" s="51">
        <v>1051309.75</v>
      </c>
      <c r="R272" s="51">
        <f t="shared" si="8"/>
        <v>4397594.7699999996</v>
      </c>
      <c r="S272" s="51"/>
      <c r="T272" s="52"/>
      <c r="U272" s="51"/>
      <c r="V272" s="51">
        <v>12307</v>
      </c>
      <c r="W272" s="51">
        <v>12307</v>
      </c>
      <c r="X272" s="51"/>
      <c r="Y272" s="19" t="s">
        <v>149</v>
      </c>
      <c r="Z272" s="19"/>
      <c r="AA272" s="28" t="s">
        <v>8472</v>
      </c>
      <c r="AB272" s="56">
        <v>43403</v>
      </c>
      <c r="AC272" s="28" t="s">
        <v>7313</v>
      </c>
      <c r="AD272" s="28" t="s">
        <v>7314</v>
      </c>
      <c r="AE272" s="54" t="s">
        <v>7324</v>
      </c>
      <c r="AF272" s="54"/>
      <c r="AG272" s="54" t="s">
        <v>7325</v>
      </c>
      <c r="AH272" s="53" t="s">
        <v>1591</v>
      </c>
      <c r="AI272" s="53" t="s">
        <v>2686</v>
      </c>
      <c r="AJ272" s="53" t="s">
        <v>1591</v>
      </c>
    </row>
    <row r="273" spans="1:36" s="3" customFormat="1" ht="48" x14ac:dyDescent="0.25">
      <c r="A273" s="17" t="s">
        <v>182</v>
      </c>
      <c r="B273" s="18" t="s">
        <v>4107</v>
      </c>
      <c r="C273" s="19" t="s">
        <v>2476</v>
      </c>
      <c r="D273" s="45" t="s">
        <v>2477</v>
      </c>
      <c r="E273" s="50"/>
      <c r="F273" s="58"/>
      <c r="G273" s="51"/>
      <c r="H273" s="51"/>
      <c r="I273" s="50" t="s">
        <v>2452</v>
      </c>
      <c r="J273" s="58" t="s">
        <v>2453</v>
      </c>
      <c r="K273" s="52" t="s">
        <v>438</v>
      </c>
      <c r="L273" s="59">
        <v>41743</v>
      </c>
      <c r="M273" s="60">
        <f>L273+4*30</f>
        <v>41863</v>
      </c>
      <c r="N273" s="51">
        <v>2057956.84</v>
      </c>
      <c r="O273" s="59"/>
      <c r="P273" s="59">
        <v>42104</v>
      </c>
      <c r="Q273" s="51">
        <v>510661.81</v>
      </c>
      <c r="R273" s="51">
        <f t="shared" ref="R273:R280" si="9">N273+Q273</f>
        <v>2568618.65</v>
      </c>
      <c r="S273" s="51"/>
      <c r="T273" s="52"/>
      <c r="U273" s="51"/>
      <c r="V273" s="51">
        <v>42192.4</v>
      </c>
      <c r="W273" s="51">
        <v>42192.4</v>
      </c>
      <c r="X273" s="51"/>
      <c r="Y273" s="19" t="s">
        <v>149</v>
      </c>
      <c r="Z273" s="19"/>
      <c r="AA273" s="28" t="s">
        <v>8472</v>
      </c>
      <c r="AB273" s="56">
        <v>43403</v>
      </c>
      <c r="AC273" s="28" t="s">
        <v>7313</v>
      </c>
      <c r="AD273" s="28" t="s">
        <v>7314</v>
      </c>
      <c r="AE273" s="54" t="s">
        <v>7326</v>
      </c>
      <c r="AF273" s="54"/>
      <c r="AG273" s="54" t="s">
        <v>7327</v>
      </c>
      <c r="AH273" s="53" t="s">
        <v>1591</v>
      </c>
      <c r="AI273" s="53" t="s">
        <v>2686</v>
      </c>
      <c r="AJ273" s="53" t="s">
        <v>1591</v>
      </c>
    </row>
    <row r="274" spans="1:36" s="3" customFormat="1" ht="108" x14ac:dyDescent="0.25">
      <c r="A274" s="17" t="s">
        <v>182</v>
      </c>
      <c r="B274" s="18" t="s">
        <v>4107</v>
      </c>
      <c r="C274" s="19" t="s">
        <v>2493</v>
      </c>
      <c r="D274" s="45" t="s">
        <v>2494</v>
      </c>
      <c r="E274" s="50"/>
      <c r="F274" s="58"/>
      <c r="G274" s="51"/>
      <c r="H274" s="51"/>
      <c r="I274" s="50" t="s">
        <v>2495</v>
      </c>
      <c r="J274" s="58" t="s">
        <v>2496</v>
      </c>
      <c r="K274" s="52" t="s">
        <v>334</v>
      </c>
      <c r="L274" s="59">
        <v>42528</v>
      </c>
      <c r="M274" s="60">
        <f>L274+6*30</f>
        <v>42708</v>
      </c>
      <c r="N274" s="51">
        <v>1862269.2</v>
      </c>
      <c r="O274" s="59"/>
      <c r="P274" s="59">
        <v>42826</v>
      </c>
      <c r="Q274" s="51"/>
      <c r="R274" s="51">
        <f t="shared" si="9"/>
        <v>1862269.2</v>
      </c>
      <c r="S274" s="51"/>
      <c r="T274" s="52"/>
      <c r="U274" s="51"/>
      <c r="V274" s="51">
        <v>254654.96</v>
      </c>
      <c r="W274" s="51">
        <v>254654.96</v>
      </c>
      <c r="X274" s="51"/>
      <c r="Y274" s="19" t="s">
        <v>175</v>
      </c>
      <c r="Z274" s="19"/>
      <c r="AA274" s="28" t="s">
        <v>8472</v>
      </c>
      <c r="AB274" s="56">
        <v>43403</v>
      </c>
      <c r="AC274" s="28" t="s">
        <v>7313</v>
      </c>
      <c r="AD274" s="28" t="s">
        <v>7314</v>
      </c>
      <c r="AE274" s="54" t="s">
        <v>7315</v>
      </c>
      <c r="AF274" s="54"/>
      <c r="AG274" s="54" t="s">
        <v>7328</v>
      </c>
      <c r="AH274" s="53" t="s">
        <v>1591</v>
      </c>
      <c r="AI274" s="53" t="s">
        <v>2686</v>
      </c>
      <c r="AJ274" s="53" t="s">
        <v>1591</v>
      </c>
    </row>
    <row r="275" spans="1:36" s="3" customFormat="1" ht="108" x14ac:dyDescent="0.25">
      <c r="A275" s="35" t="s">
        <v>182</v>
      </c>
      <c r="B275" s="34" t="s">
        <v>4107</v>
      </c>
      <c r="C275" s="19" t="s">
        <v>4109</v>
      </c>
      <c r="D275" s="43" t="s">
        <v>2501</v>
      </c>
      <c r="E275" s="50"/>
      <c r="F275" s="36"/>
      <c r="G275" s="51"/>
      <c r="H275" s="51"/>
      <c r="I275" s="36" t="s">
        <v>892</v>
      </c>
      <c r="J275" s="34" t="s">
        <v>2502</v>
      </c>
      <c r="K275" s="37" t="s">
        <v>339</v>
      </c>
      <c r="L275" s="38">
        <v>42566</v>
      </c>
      <c r="M275" s="39">
        <f>L275+3*30</f>
        <v>42656</v>
      </c>
      <c r="N275" s="42">
        <v>1313395.8400000001</v>
      </c>
      <c r="O275" s="74"/>
      <c r="P275" s="39">
        <v>42833</v>
      </c>
      <c r="Q275" s="41"/>
      <c r="R275" s="51">
        <f t="shared" si="9"/>
        <v>1313395.8400000001</v>
      </c>
      <c r="S275" s="51"/>
      <c r="T275" s="52"/>
      <c r="U275" s="51"/>
      <c r="V275" s="51">
        <v>0</v>
      </c>
      <c r="W275" s="42">
        <v>0</v>
      </c>
      <c r="X275" s="42"/>
      <c r="Y275" s="34" t="s">
        <v>175</v>
      </c>
      <c r="Z275" s="34"/>
      <c r="AA275" s="28" t="s">
        <v>8472</v>
      </c>
      <c r="AB275" s="56">
        <v>43403</v>
      </c>
      <c r="AC275" s="28" t="s">
        <v>7313</v>
      </c>
      <c r="AD275" s="28" t="s">
        <v>7314</v>
      </c>
      <c r="AE275" s="54" t="s">
        <v>7315</v>
      </c>
      <c r="AF275" s="54"/>
      <c r="AG275" s="54" t="s">
        <v>7328</v>
      </c>
      <c r="AH275" s="53" t="s">
        <v>1591</v>
      </c>
      <c r="AI275" s="53" t="s">
        <v>2686</v>
      </c>
      <c r="AJ275" s="53" t="s">
        <v>1591</v>
      </c>
    </row>
    <row r="276" spans="1:36" s="3" customFormat="1" ht="108" x14ac:dyDescent="0.25">
      <c r="A276" s="17" t="s">
        <v>182</v>
      </c>
      <c r="B276" s="18" t="s">
        <v>4107</v>
      </c>
      <c r="C276" s="19" t="s">
        <v>2490</v>
      </c>
      <c r="D276" s="45" t="s">
        <v>2491</v>
      </c>
      <c r="E276" s="50"/>
      <c r="F276" s="58"/>
      <c r="G276" s="51"/>
      <c r="H276" s="51"/>
      <c r="I276" s="50" t="s">
        <v>1653</v>
      </c>
      <c r="J276" s="58" t="s">
        <v>2492</v>
      </c>
      <c r="K276" s="52" t="s">
        <v>329</v>
      </c>
      <c r="L276" s="59">
        <v>42459</v>
      </c>
      <c r="M276" s="60"/>
      <c r="N276" s="51">
        <v>1280279.83</v>
      </c>
      <c r="O276" s="59"/>
      <c r="P276" s="59">
        <v>43034</v>
      </c>
      <c r="Q276" s="51"/>
      <c r="R276" s="51">
        <f t="shared" si="9"/>
        <v>1280279.83</v>
      </c>
      <c r="S276" s="51"/>
      <c r="T276" s="52"/>
      <c r="U276" s="51"/>
      <c r="V276" s="51">
        <v>170294.72</v>
      </c>
      <c r="W276" s="51">
        <v>170294.72</v>
      </c>
      <c r="X276" s="51"/>
      <c r="Y276" s="19" t="s">
        <v>175</v>
      </c>
      <c r="Z276" s="19"/>
      <c r="AA276" s="28" t="s">
        <v>8472</v>
      </c>
      <c r="AB276" s="56">
        <v>43403</v>
      </c>
      <c r="AC276" s="28" t="s">
        <v>7313</v>
      </c>
      <c r="AD276" s="28" t="s">
        <v>7314</v>
      </c>
      <c r="AE276" s="54" t="s">
        <v>7315</v>
      </c>
      <c r="AF276" s="54"/>
      <c r="AG276" s="54" t="s">
        <v>7328</v>
      </c>
      <c r="AH276" s="53" t="s">
        <v>1591</v>
      </c>
      <c r="AI276" s="53" t="s">
        <v>2686</v>
      </c>
      <c r="AJ276" s="53" t="s">
        <v>1591</v>
      </c>
    </row>
    <row r="277" spans="1:36" s="3" customFormat="1" ht="48" x14ac:dyDescent="0.25">
      <c r="A277" s="17" t="s">
        <v>182</v>
      </c>
      <c r="B277" s="18" t="s">
        <v>4107</v>
      </c>
      <c r="C277" s="19" t="s">
        <v>2483</v>
      </c>
      <c r="D277" s="45" t="s">
        <v>2484</v>
      </c>
      <c r="E277" s="50"/>
      <c r="F277" s="58"/>
      <c r="G277" s="51"/>
      <c r="H277" s="51"/>
      <c r="I277" s="50" t="s">
        <v>1968</v>
      </c>
      <c r="J277" s="58" t="s">
        <v>2485</v>
      </c>
      <c r="K277" s="52" t="s">
        <v>2486</v>
      </c>
      <c r="L277" s="59">
        <v>42548</v>
      </c>
      <c r="M277" s="60">
        <f>L277+4*30</f>
        <v>42668</v>
      </c>
      <c r="N277" s="51">
        <v>633367.14</v>
      </c>
      <c r="O277" s="59"/>
      <c r="P277" s="59">
        <v>42683</v>
      </c>
      <c r="Q277" s="51"/>
      <c r="R277" s="51">
        <f t="shared" si="9"/>
        <v>633367.14</v>
      </c>
      <c r="S277" s="51"/>
      <c r="T277" s="52"/>
      <c r="U277" s="51"/>
      <c r="V277" s="51">
        <v>0</v>
      </c>
      <c r="W277" s="51">
        <v>0</v>
      </c>
      <c r="X277" s="51"/>
      <c r="Y277" s="19" t="s">
        <v>175</v>
      </c>
      <c r="Z277" s="19"/>
      <c r="AA277" s="28" t="s">
        <v>8472</v>
      </c>
      <c r="AB277" s="56">
        <v>43403</v>
      </c>
      <c r="AC277" s="28" t="s">
        <v>7313</v>
      </c>
      <c r="AD277" s="28" t="s">
        <v>7314</v>
      </c>
      <c r="AE277" s="54" t="s">
        <v>7319</v>
      </c>
      <c r="AF277" s="54"/>
      <c r="AG277" s="54" t="s">
        <v>7329</v>
      </c>
      <c r="AH277" s="53" t="s">
        <v>1591</v>
      </c>
      <c r="AI277" s="53" t="s">
        <v>2686</v>
      </c>
      <c r="AJ277" s="53" t="s">
        <v>1591</v>
      </c>
    </row>
    <row r="278" spans="1:36" s="3" customFormat="1" ht="48" x14ac:dyDescent="0.25">
      <c r="A278" s="17" t="s">
        <v>182</v>
      </c>
      <c r="B278" s="18" t="s">
        <v>4107</v>
      </c>
      <c r="C278" s="19" t="s">
        <v>2487</v>
      </c>
      <c r="D278" s="45" t="s">
        <v>2488</v>
      </c>
      <c r="E278" s="50"/>
      <c r="F278" s="58"/>
      <c r="G278" s="51"/>
      <c r="H278" s="51"/>
      <c r="I278" s="50" t="s">
        <v>650</v>
      </c>
      <c r="J278" s="58" t="s">
        <v>2489</v>
      </c>
      <c r="K278" s="52" t="s">
        <v>56</v>
      </c>
      <c r="L278" s="59">
        <v>42457</v>
      </c>
      <c r="M278" s="60">
        <f>L278+4*30</f>
        <v>42577</v>
      </c>
      <c r="N278" s="51">
        <v>272504.43</v>
      </c>
      <c r="O278" s="59"/>
      <c r="P278" s="59">
        <v>42801</v>
      </c>
      <c r="Q278" s="51"/>
      <c r="R278" s="51">
        <f t="shared" si="9"/>
        <v>272504.43</v>
      </c>
      <c r="S278" s="51"/>
      <c r="T278" s="52"/>
      <c r="U278" s="51"/>
      <c r="V278" s="51">
        <v>40232.06</v>
      </c>
      <c r="W278" s="51">
        <v>40232.06</v>
      </c>
      <c r="X278" s="51"/>
      <c r="Y278" s="19" t="s">
        <v>175</v>
      </c>
      <c r="Z278" s="19"/>
      <c r="AA278" s="28" t="s">
        <v>8472</v>
      </c>
      <c r="AB278" s="56">
        <v>43403</v>
      </c>
      <c r="AC278" s="28" t="s">
        <v>7313</v>
      </c>
      <c r="AD278" s="28" t="s">
        <v>7314</v>
      </c>
      <c r="AE278" s="54" t="s">
        <v>7317</v>
      </c>
      <c r="AF278" s="54"/>
      <c r="AG278" s="54" t="s">
        <v>7330</v>
      </c>
      <c r="AH278" s="53" t="s">
        <v>1591</v>
      </c>
      <c r="AI278" s="53" t="s">
        <v>2686</v>
      </c>
      <c r="AJ278" s="53" t="s">
        <v>1591</v>
      </c>
    </row>
    <row r="279" spans="1:36" s="3" customFormat="1" ht="108" x14ac:dyDescent="0.25">
      <c r="A279" s="17" t="s">
        <v>182</v>
      </c>
      <c r="B279" s="18" t="s">
        <v>4107</v>
      </c>
      <c r="C279" s="19" t="s">
        <v>2497</v>
      </c>
      <c r="D279" s="45" t="s">
        <v>2498</v>
      </c>
      <c r="E279" s="50"/>
      <c r="F279" s="58"/>
      <c r="G279" s="51"/>
      <c r="H279" s="51"/>
      <c r="I279" s="50" t="s">
        <v>2499</v>
      </c>
      <c r="J279" s="58" t="s">
        <v>2500</v>
      </c>
      <c r="K279" s="52" t="s">
        <v>652</v>
      </c>
      <c r="L279" s="59">
        <v>42590</v>
      </c>
      <c r="M279" s="60">
        <f>L279+6*30</f>
        <v>42770</v>
      </c>
      <c r="N279" s="51">
        <v>231445.92</v>
      </c>
      <c r="O279" s="59"/>
      <c r="P279" s="59">
        <v>42879</v>
      </c>
      <c r="Q279" s="51"/>
      <c r="R279" s="51">
        <f t="shared" si="9"/>
        <v>231445.92</v>
      </c>
      <c r="S279" s="51"/>
      <c r="T279" s="52"/>
      <c r="U279" s="51"/>
      <c r="V279" s="51">
        <v>0</v>
      </c>
      <c r="W279" s="51">
        <v>0</v>
      </c>
      <c r="X279" s="51"/>
      <c r="Y279" s="19" t="s">
        <v>175</v>
      </c>
      <c r="Z279" s="19"/>
      <c r="AA279" s="28" t="s">
        <v>8472</v>
      </c>
      <c r="AB279" s="56">
        <v>43403</v>
      </c>
      <c r="AC279" s="28" t="s">
        <v>7313</v>
      </c>
      <c r="AD279" s="28" t="s">
        <v>7314</v>
      </c>
      <c r="AE279" s="54" t="s">
        <v>7315</v>
      </c>
      <c r="AF279" s="54"/>
      <c r="AG279" s="54" t="s">
        <v>7328</v>
      </c>
      <c r="AH279" s="53" t="s">
        <v>1591</v>
      </c>
      <c r="AI279" s="53" t="s">
        <v>2686</v>
      </c>
      <c r="AJ279" s="53" t="s">
        <v>1591</v>
      </c>
    </row>
    <row r="280" spans="1:36" s="3" customFormat="1" ht="48" x14ac:dyDescent="0.25">
      <c r="A280" s="17" t="s">
        <v>182</v>
      </c>
      <c r="B280" s="18" t="s">
        <v>4107</v>
      </c>
      <c r="C280" s="19" t="s">
        <v>2480</v>
      </c>
      <c r="D280" s="45" t="s">
        <v>2481</v>
      </c>
      <c r="E280" s="50"/>
      <c r="F280" s="58"/>
      <c r="G280" s="51"/>
      <c r="H280" s="51"/>
      <c r="I280" s="50" t="s">
        <v>1130</v>
      </c>
      <c r="J280" s="58" t="s">
        <v>2482</v>
      </c>
      <c r="K280" s="52" t="s">
        <v>835</v>
      </c>
      <c r="L280" s="59">
        <v>42377</v>
      </c>
      <c r="M280" s="60"/>
      <c r="N280" s="51">
        <v>214501.24</v>
      </c>
      <c r="O280" s="59"/>
      <c r="P280" s="59">
        <v>42874</v>
      </c>
      <c r="Q280" s="51"/>
      <c r="R280" s="51">
        <f t="shared" si="9"/>
        <v>214501.24</v>
      </c>
      <c r="S280" s="51"/>
      <c r="T280" s="52"/>
      <c r="U280" s="51"/>
      <c r="V280" s="51">
        <v>0</v>
      </c>
      <c r="W280" s="51">
        <v>0</v>
      </c>
      <c r="X280" s="51"/>
      <c r="Y280" s="19" t="s">
        <v>175</v>
      </c>
      <c r="Z280" s="19"/>
      <c r="AA280" s="28" t="s">
        <v>8472</v>
      </c>
      <c r="AB280" s="56">
        <v>43403</v>
      </c>
      <c r="AC280" s="28" t="s">
        <v>7313</v>
      </c>
      <c r="AD280" s="28" t="s">
        <v>7314</v>
      </c>
      <c r="AE280" s="54" t="s">
        <v>7319</v>
      </c>
      <c r="AF280" s="54"/>
      <c r="AG280" s="54" t="s">
        <v>7331</v>
      </c>
      <c r="AH280" s="53" t="s">
        <v>1591</v>
      </c>
      <c r="AI280" s="53" t="s">
        <v>2686</v>
      </c>
      <c r="AJ280" s="53" t="s">
        <v>1591</v>
      </c>
    </row>
    <row r="281" spans="1:36" s="3" customFormat="1" ht="144" x14ac:dyDescent="0.25">
      <c r="A281" s="17" t="s">
        <v>182</v>
      </c>
      <c r="B281" s="18" t="s">
        <v>561</v>
      </c>
      <c r="C281" s="76" t="s">
        <v>6250</v>
      </c>
      <c r="D281" s="45" t="s">
        <v>6251</v>
      </c>
      <c r="E281" s="78" t="s">
        <v>6252</v>
      </c>
      <c r="F281" s="79" t="s">
        <v>6253</v>
      </c>
      <c r="G281" s="80">
        <v>99274541.430000007</v>
      </c>
      <c r="H281" s="80">
        <v>36850449.240000002</v>
      </c>
      <c r="I281" s="78" t="s">
        <v>6254</v>
      </c>
      <c r="J281" s="79" t="s">
        <v>6255</v>
      </c>
      <c r="K281" s="81" t="s">
        <v>578</v>
      </c>
      <c r="L281" s="82">
        <v>41389</v>
      </c>
      <c r="M281" s="83">
        <v>41839</v>
      </c>
      <c r="N281" s="80">
        <v>120746726.34</v>
      </c>
      <c r="O281" s="82">
        <v>42551</v>
      </c>
      <c r="P281" s="84" t="s">
        <v>6248</v>
      </c>
      <c r="Q281" s="80">
        <v>15348699.180000007</v>
      </c>
      <c r="R281" s="80">
        <v>136095425.52000001</v>
      </c>
      <c r="S281" s="80">
        <v>4053777.7</v>
      </c>
      <c r="T281" s="81" t="s">
        <v>52</v>
      </c>
      <c r="U281" s="80">
        <v>11734294.82</v>
      </c>
      <c r="V281" s="80"/>
      <c r="W281" s="80"/>
      <c r="X281" s="80">
        <v>53700650.439999998</v>
      </c>
      <c r="Y281" s="76" t="s">
        <v>576</v>
      </c>
      <c r="Z281" s="19" t="s">
        <v>7038</v>
      </c>
      <c r="AA281" s="28" t="s">
        <v>7332</v>
      </c>
      <c r="AB281" s="56">
        <v>43404</v>
      </c>
      <c r="AC281" s="28" t="s">
        <v>7333</v>
      </c>
      <c r="AD281" s="28" t="s">
        <v>7334</v>
      </c>
      <c r="AE281" s="54" t="s">
        <v>7335</v>
      </c>
      <c r="AF281" s="54"/>
      <c r="AG281" s="54" t="s">
        <v>8551</v>
      </c>
      <c r="AH281" s="53" t="s">
        <v>1591</v>
      </c>
      <c r="AI281" s="53" t="s">
        <v>2686</v>
      </c>
      <c r="AJ281" s="53" t="s">
        <v>1591</v>
      </c>
    </row>
    <row r="282" spans="1:36" s="3" customFormat="1" ht="108" x14ac:dyDescent="0.25">
      <c r="A282" s="17" t="s">
        <v>182</v>
      </c>
      <c r="B282" s="18" t="s">
        <v>561</v>
      </c>
      <c r="C282" s="76" t="s">
        <v>6256</v>
      </c>
      <c r="D282" s="45" t="s">
        <v>6257</v>
      </c>
      <c r="E282" s="78" t="s">
        <v>6258</v>
      </c>
      <c r="F282" s="79" t="s">
        <v>6249</v>
      </c>
      <c r="G282" s="80">
        <v>61435132.560000002</v>
      </c>
      <c r="H282" s="80" t="s">
        <v>5866</v>
      </c>
      <c r="I282" s="78" t="s">
        <v>6259</v>
      </c>
      <c r="J282" s="79" t="s">
        <v>6260</v>
      </c>
      <c r="K282" s="81" t="s">
        <v>49</v>
      </c>
      <c r="L282" s="82">
        <v>41314</v>
      </c>
      <c r="M282" s="83">
        <v>41764</v>
      </c>
      <c r="N282" s="80">
        <v>56647387.799999997</v>
      </c>
      <c r="O282" s="82">
        <v>42217</v>
      </c>
      <c r="P282" s="84" t="s">
        <v>6261</v>
      </c>
      <c r="Q282" s="80">
        <v>4423950.0900000036</v>
      </c>
      <c r="R282" s="80">
        <v>61071337.890000001</v>
      </c>
      <c r="S282" s="80">
        <v>1003591.51</v>
      </c>
      <c r="T282" s="81" t="s">
        <v>52</v>
      </c>
      <c r="U282" s="80"/>
      <c r="V282" s="80"/>
      <c r="W282" s="80"/>
      <c r="X282" s="80">
        <v>16272448.32</v>
      </c>
      <c r="Y282" s="76" t="s">
        <v>575</v>
      </c>
      <c r="Z282" s="19" t="s">
        <v>7038</v>
      </c>
      <c r="AA282" s="28" t="s">
        <v>7332</v>
      </c>
      <c r="AB282" s="56">
        <v>43404</v>
      </c>
      <c r="AC282" s="28" t="s">
        <v>7333</v>
      </c>
      <c r="AD282" s="28" t="s">
        <v>7334</v>
      </c>
      <c r="AE282" s="54" t="s">
        <v>7335</v>
      </c>
      <c r="AF282" s="54"/>
      <c r="AG282" s="54" t="s">
        <v>7336</v>
      </c>
      <c r="AH282" s="53" t="s">
        <v>1591</v>
      </c>
      <c r="AI282" s="53" t="s">
        <v>2686</v>
      </c>
      <c r="AJ282" s="53" t="s">
        <v>1591</v>
      </c>
    </row>
    <row r="283" spans="1:36" s="3" customFormat="1" ht="204" x14ac:dyDescent="0.25">
      <c r="A283" s="17" t="s">
        <v>182</v>
      </c>
      <c r="B283" s="18" t="s">
        <v>561</v>
      </c>
      <c r="C283" s="76" t="s">
        <v>6262</v>
      </c>
      <c r="D283" s="45" t="s">
        <v>6263</v>
      </c>
      <c r="E283" s="78" t="s">
        <v>6264</v>
      </c>
      <c r="F283" s="79" t="s">
        <v>572</v>
      </c>
      <c r="G283" s="80">
        <v>38460000</v>
      </c>
      <c r="H283" s="80">
        <v>11540000</v>
      </c>
      <c r="I283" s="78" t="s">
        <v>6088</v>
      </c>
      <c r="J283" s="79" t="s">
        <v>6089</v>
      </c>
      <c r="K283" s="81" t="s">
        <v>5339</v>
      </c>
      <c r="L283" s="82">
        <v>41358</v>
      </c>
      <c r="M283" s="83">
        <v>41723</v>
      </c>
      <c r="N283" s="80">
        <v>46490781.340000004</v>
      </c>
      <c r="O283" s="82">
        <v>41922</v>
      </c>
      <c r="P283" s="84" t="s">
        <v>303</v>
      </c>
      <c r="Q283" s="80">
        <v>5242866.4200000018</v>
      </c>
      <c r="R283" s="80">
        <v>51733647.760000005</v>
      </c>
      <c r="S283" s="80">
        <v>1425518.57</v>
      </c>
      <c r="T283" s="81" t="s">
        <v>32</v>
      </c>
      <c r="U283" s="80"/>
      <c r="V283" s="80"/>
      <c r="W283" s="80"/>
      <c r="X283" s="80">
        <v>29965552.899999999</v>
      </c>
      <c r="Y283" s="76" t="s">
        <v>575</v>
      </c>
      <c r="Z283" s="19" t="s">
        <v>7038</v>
      </c>
      <c r="AA283" s="28" t="s">
        <v>7332</v>
      </c>
      <c r="AB283" s="56">
        <v>43404</v>
      </c>
      <c r="AC283" s="28" t="s">
        <v>7333</v>
      </c>
      <c r="AD283" s="28" t="s">
        <v>7334</v>
      </c>
      <c r="AE283" s="54" t="s">
        <v>7337</v>
      </c>
      <c r="AF283" s="54"/>
      <c r="AG283" s="54" t="s">
        <v>7338</v>
      </c>
      <c r="AH283" s="53" t="s">
        <v>1591</v>
      </c>
      <c r="AI283" s="53" t="s">
        <v>2686</v>
      </c>
      <c r="AJ283" s="53" t="s">
        <v>1591</v>
      </c>
    </row>
    <row r="284" spans="1:36" s="3" customFormat="1" ht="72" x14ac:dyDescent="0.25">
      <c r="A284" s="17" t="s">
        <v>182</v>
      </c>
      <c r="B284" s="18" t="s">
        <v>561</v>
      </c>
      <c r="C284" s="76" t="s">
        <v>6265</v>
      </c>
      <c r="D284" s="45" t="s">
        <v>6266</v>
      </c>
      <c r="E284" s="78" t="s">
        <v>46</v>
      </c>
      <c r="F284" s="79"/>
      <c r="G284" s="80"/>
      <c r="H284" s="80"/>
      <c r="I284" s="78" t="s">
        <v>6267</v>
      </c>
      <c r="J284" s="79" t="s">
        <v>6268</v>
      </c>
      <c r="K284" s="81" t="s">
        <v>4754</v>
      </c>
      <c r="L284" s="82">
        <v>41379</v>
      </c>
      <c r="M284" s="83">
        <v>41744</v>
      </c>
      <c r="N284" s="80">
        <v>39092436.25</v>
      </c>
      <c r="O284" s="82">
        <v>41699</v>
      </c>
      <c r="P284" s="84"/>
      <c r="Q284" s="80">
        <v>0</v>
      </c>
      <c r="R284" s="80">
        <v>39092436.25</v>
      </c>
      <c r="S284" s="80"/>
      <c r="T284" s="81" t="s">
        <v>32</v>
      </c>
      <c r="U284" s="80"/>
      <c r="V284" s="80"/>
      <c r="W284" s="80"/>
      <c r="X284" s="80">
        <v>10765235.359999999</v>
      </c>
      <c r="Y284" s="76" t="s">
        <v>576</v>
      </c>
      <c r="Z284" s="19" t="s">
        <v>7038</v>
      </c>
      <c r="AA284" s="28" t="s">
        <v>7332</v>
      </c>
      <c r="AB284" s="56">
        <v>43404</v>
      </c>
      <c r="AC284" s="28" t="s">
        <v>7333</v>
      </c>
      <c r="AD284" s="28" t="s">
        <v>7334</v>
      </c>
      <c r="AE284" s="54" t="s">
        <v>7335</v>
      </c>
      <c r="AF284" s="54"/>
      <c r="AG284" s="54" t="s">
        <v>7339</v>
      </c>
      <c r="AH284" s="53" t="s">
        <v>1591</v>
      </c>
      <c r="AI284" s="53" t="s">
        <v>2686</v>
      </c>
      <c r="AJ284" s="53" t="s">
        <v>1591</v>
      </c>
    </row>
    <row r="285" spans="1:36" s="3" customFormat="1" ht="108" x14ac:dyDescent="0.25">
      <c r="A285" s="17" t="s">
        <v>182</v>
      </c>
      <c r="B285" s="18" t="s">
        <v>561</v>
      </c>
      <c r="C285" s="76" t="s">
        <v>6269</v>
      </c>
      <c r="D285" s="45" t="s">
        <v>6270</v>
      </c>
      <c r="E285" s="78" t="s">
        <v>6271</v>
      </c>
      <c r="F285" s="79" t="s">
        <v>565</v>
      </c>
      <c r="G285" s="80">
        <v>60000000</v>
      </c>
      <c r="H285" s="80">
        <v>3160000</v>
      </c>
      <c r="I285" s="78" t="s">
        <v>566</v>
      </c>
      <c r="J285" s="79" t="s">
        <v>6272</v>
      </c>
      <c r="K285" s="81" t="s">
        <v>567</v>
      </c>
      <c r="L285" s="82">
        <v>41431</v>
      </c>
      <c r="M285" s="83">
        <v>41851</v>
      </c>
      <c r="N285" s="80">
        <v>19949000</v>
      </c>
      <c r="O285" s="82">
        <v>41857</v>
      </c>
      <c r="P285" s="84" t="s">
        <v>51</v>
      </c>
      <c r="Q285" s="80">
        <v>4963187.5100000016</v>
      </c>
      <c r="R285" s="80">
        <v>24912187.510000002</v>
      </c>
      <c r="S285" s="80"/>
      <c r="T285" s="81" t="s">
        <v>52</v>
      </c>
      <c r="U285" s="80">
        <v>4708826.2</v>
      </c>
      <c r="V285" s="80"/>
      <c r="W285" s="80"/>
      <c r="X285" s="80">
        <v>19795913.449999999</v>
      </c>
      <c r="Y285" s="76" t="s">
        <v>41</v>
      </c>
      <c r="Z285" s="19" t="s">
        <v>7038</v>
      </c>
      <c r="AA285" s="28" t="s">
        <v>7332</v>
      </c>
      <c r="AB285" s="56">
        <v>43404</v>
      </c>
      <c r="AC285" s="28" t="s">
        <v>7333</v>
      </c>
      <c r="AD285" s="28" t="s">
        <v>7334</v>
      </c>
      <c r="AE285" s="54" t="s">
        <v>7340</v>
      </c>
      <c r="AF285" s="54"/>
      <c r="AG285" s="54" t="s">
        <v>7341</v>
      </c>
      <c r="AH285" s="53" t="s">
        <v>1591</v>
      </c>
      <c r="AI285" s="53" t="s">
        <v>2686</v>
      </c>
      <c r="AJ285" s="53" t="s">
        <v>1591</v>
      </c>
    </row>
    <row r="286" spans="1:36" s="3" customFormat="1" ht="132" x14ac:dyDescent="0.25">
      <c r="A286" s="17" t="s">
        <v>182</v>
      </c>
      <c r="B286" s="18" t="s">
        <v>561</v>
      </c>
      <c r="C286" s="76" t="s">
        <v>6273</v>
      </c>
      <c r="D286" s="45" t="s">
        <v>6274</v>
      </c>
      <c r="E286" s="78" t="s">
        <v>6275</v>
      </c>
      <c r="F286" s="79" t="s">
        <v>572</v>
      </c>
      <c r="G286" s="80">
        <v>11540000</v>
      </c>
      <c r="H286" s="80">
        <v>3460000</v>
      </c>
      <c r="I286" s="78" t="s">
        <v>253</v>
      </c>
      <c r="J286" s="79" t="s">
        <v>254</v>
      </c>
      <c r="K286" s="81" t="s">
        <v>393</v>
      </c>
      <c r="L286" s="82">
        <v>41388</v>
      </c>
      <c r="M286" s="83">
        <v>41753</v>
      </c>
      <c r="N286" s="80">
        <v>20599431.829999998</v>
      </c>
      <c r="O286" s="82">
        <v>41922</v>
      </c>
      <c r="P286" s="84"/>
      <c r="Q286" s="80">
        <v>0</v>
      </c>
      <c r="R286" s="80">
        <v>20599431.829999998</v>
      </c>
      <c r="S286" s="80"/>
      <c r="T286" s="81" t="s">
        <v>32</v>
      </c>
      <c r="U286" s="80"/>
      <c r="V286" s="80"/>
      <c r="W286" s="80"/>
      <c r="X286" s="80">
        <v>7207705.1200000001</v>
      </c>
      <c r="Y286" s="76" t="s">
        <v>575</v>
      </c>
      <c r="Z286" s="19" t="s">
        <v>7038</v>
      </c>
      <c r="AA286" s="28" t="s">
        <v>7332</v>
      </c>
      <c r="AB286" s="56">
        <v>43404</v>
      </c>
      <c r="AC286" s="28" t="s">
        <v>7333</v>
      </c>
      <c r="AD286" s="28" t="s">
        <v>7334</v>
      </c>
      <c r="AE286" s="54" t="s">
        <v>7335</v>
      </c>
      <c r="AF286" s="54"/>
      <c r="AG286" s="54" t="s">
        <v>7342</v>
      </c>
      <c r="AH286" s="53" t="s">
        <v>1591</v>
      </c>
      <c r="AI286" s="53" t="s">
        <v>2686</v>
      </c>
      <c r="AJ286" s="53" t="s">
        <v>1591</v>
      </c>
    </row>
    <row r="287" spans="1:36" s="3" customFormat="1" ht="60" x14ac:dyDescent="0.25">
      <c r="A287" s="17" t="s">
        <v>182</v>
      </c>
      <c r="B287" s="18" t="s">
        <v>561</v>
      </c>
      <c r="C287" s="76" t="s">
        <v>6276</v>
      </c>
      <c r="D287" s="45" t="s">
        <v>6277</v>
      </c>
      <c r="E287" s="78" t="s">
        <v>46</v>
      </c>
      <c r="F287" s="79" t="s">
        <v>46</v>
      </c>
      <c r="G287" s="80" t="s">
        <v>46</v>
      </c>
      <c r="H287" s="80" t="s">
        <v>46</v>
      </c>
      <c r="I287" s="78" t="s">
        <v>5970</v>
      </c>
      <c r="J287" s="79" t="s">
        <v>6278</v>
      </c>
      <c r="K287" s="81" t="s">
        <v>474</v>
      </c>
      <c r="L287" s="82">
        <v>41465</v>
      </c>
      <c r="M287" s="83">
        <v>41830</v>
      </c>
      <c r="N287" s="80">
        <v>6814033.6399999997</v>
      </c>
      <c r="O287" s="82">
        <v>42502</v>
      </c>
      <c r="P287" s="84" t="s">
        <v>6279</v>
      </c>
      <c r="Q287" s="80">
        <v>758423.54</v>
      </c>
      <c r="R287" s="80">
        <v>7572457.1799999997</v>
      </c>
      <c r="S287" s="80">
        <v>139686.99</v>
      </c>
      <c r="T287" s="81" t="s">
        <v>52</v>
      </c>
      <c r="U287" s="80">
        <v>444495.15</v>
      </c>
      <c r="V287" s="80"/>
      <c r="W287" s="80"/>
      <c r="X287" s="80">
        <v>3807709.53</v>
      </c>
      <c r="Y287" s="76" t="s">
        <v>575</v>
      </c>
      <c r="Z287" s="19" t="s">
        <v>7038</v>
      </c>
      <c r="AA287" s="28" t="s">
        <v>7332</v>
      </c>
      <c r="AB287" s="56">
        <v>43404</v>
      </c>
      <c r="AC287" s="28" t="s">
        <v>7333</v>
      </c>
      <c r="AD287" s="28" t="s">
        <v>7334</v>
      </c>
      <c r="AE287" s="54" t="s">
        <v>7335</v>
      </c>
      <c r="AF287" s="54"/>
      <c r="AG287" s="54" t="s">
        <v>7343</v>
      </c>
      <c r="AH287" s="53" t="s">
        <v>1591</v>
      </c>
      <c r="AI287" s="53" t="s">
        <v>2686</v>
      </c>
      <c r="AJ287" s="53" t="s">
        <v>1591</v>
      </c>
    </row>
    <row r="288" spans="1:36" s="3" customFormat="1" ht="48" x14ac:dyDescent="0.25">
      <c r="A288" s="17" t="s">
        <v>182</v>
      </c>
      <c r="B288" s="18" t="s">
        <v>561</v>
      </c>
      <c r="C288" s="76" t="s">
        <v>6280</v>
      </c>
      <c r="D288" s="45" t="s">
        <v>6281</v>
      </c>
      <c r="E288" s="78"/>
      <c r="F288" s="79"/>
      <c r="G288" s="80"/>
      <c r="H288" s="80"/>
      <c r="I288" s="78" t="s">
        <v>568</v>
      </c>
      <c r="J288" s="79" t="s">
        <v>569</v>
      </c>
      <c r="K288" s="81" t="s">
        <v>571</v>
      </c>
      <c r="L288" s="82">
        <v>42552</v>
      </c>
      <c r="M288" s="83">
        <v>42732</v>
      </c>
      <c r="N288" s="80">
        <v>2074444.85</v>
      </c>
      <c r="O288" s="82">
        <v>42735</v>
      </c>
      <c r="P288" s="84"/>
      <c r="Q288" s="80">
        <v>0</v>
      </c>
      <c r="R288" s="80">
        <v>2074444.85</v>
      </c>
      <c r="S288" s="80"/>
      <c r="T288" s="81" t="s">
        <v>52</v>
      </c>
      <c r="U288" s="80">
        <v>91966.22</v>
      </c>
      <c r="V288" s="80"/>
      <c r="W288" s="80"/>
      <c r="X288" s="80">
        <v>91966.22</v>
      </c>
      <c r="Y288" s="76" t="s">
        <v>186</v>
      </c>
      <c r="Z288" s="19" t="s">
        <v>7038</v>
      </c>
      <c r="AA288" s="28" t="s">
        <v>7332</v>
      </c>
      <c r="AB288" s="56">
        <v>43404</v>
      </c>
      <c r="AC288" s="28" t="s">
        <v>7333</v>
      </c>
      <c r="AD288" s="28" t="s">
        <v>7334</v>
      </c>
      <c r="AE288" s="54" t="s">
        <v>7344</v>
      </c>
      <c r="AF288" s="54"/>
      <c r="AG288" s="54"/>
      <c r="AH288" s="53" t="s">
        <v>1591</v>
      </c>
      <c r="AI288" s="53" t="s">
        <v>2686</v>
      </c>
      <c r="AJ288" s="53" t="s">
        <v>1591</v>
      </c>
    </row>
    <row r="289" spans="1:36" s="3" customFormat="1" ht="120" x14ac:dyDescent="0.25">
      <c r="A289" s="17" t="s">
        <v>182</v>
      </c>
      <c r="B289" s="18" t="s">
        <v>561</v>
      </c>
      <c r="C289" s="76" t="s">
        <v>6282</v>
      </c>
      <c r="D289" s="45" t="s">
        <v>6283</v>
      </c>
      <c r="E289" s="78"/>
      <c r="F289" s="79"/>
      <c r="G289" s="80"/>
      <c r="H289" s="80"/>
      <c r="I289" s="78" t="s">
        <v>6284</v>
      </c>
      <c r="J289" s="79" t="s">
        <v>6285</v>
      </c>
      <c r="K289" s="81" t="s">
        <v>487</v>
      </c>
      <c r="L289" s="82">
        <v>41779</v>
      </c>
      <c r="M289" s="83">
        <v>41959</v>
      </c>
      <c r="N289" s="80">
        <v>1798163.82</v>
      </c>
      <c r="O289" s="82">
        <v>41922</v>
      </c>
      <c r="P289" s="84"/>
      <c r="Q289" s="80">
        <v>0</v>
      </c>
      <c r="R289" s="80">
        <v>1798163.82</v>
      </c>
      <c r="S289" s="80"/>
      <c r="T289" s="81" t="s">
        <v>32</v>
      </c>
      <c r="U289" s="80"/>
      <c r="V289" s="80"/>
      <c r="W289" s="80"/>
      <c r="X289" s="80">
        <v>1029509.2</v>
      </c>
      <c r="Y289" s="76" t="s">
        <v>576</v>
      </c>
      <c r="Z289" s="19" t="s">
        <v>7038</v>
      </c>
      <c r="AA289" s="28" t="s">
        <v>7332</v>
      </c>
      <c r="AB289" s="56">
        <v>43404</v>
      </c>
      <c r="AC289" s="28" t="s">
        <v>7333</v>
      </c>
      <c r="AD289" s="28" t="s">
        <v>7334</v>
      </c>
      <c r="AE289" s="54" t="s">
        <v>7335</v>
      </c>
      <c r="AF289" s="54"/>
      <c r="AG289" s="54" t="s">
        <v>7345</v>
      </c>
      <c r="AH289" s="53" t="s">
        <v>1591</v>
      </c>
      <c r="AI289" s="53" t="s">
        <v>2686</v>
      </c>
      <c r="AJ289" s="53" t="s">
        <v>1591</v>
      </c>
    </row>
    <row r="290" spans="1:36" s="3" customFormat="1" ht="48" x14ac:dyDescent="0.25">
      <c r="A290" s="17" t="s">
        <v>182</v>
      </c>
      <c r="B290" s="18" t="s">
        <v>561</v>
      </c>
      <c r="C290" s="76" t="s">
        <v>4468</v>
      </c>
      <c r="D290" s="77" t="s">
        <v>6286</v>
      </c>
      <c r="E290" s="78"/>
      <c r="F290" s="79"/>
      <c r="G290" s="80"/>
      <c r="H290" s="80"/>
      <c r="I290" s="78" t="s">
        <v>6287</v>
      </c>
      <c r="J290" s="79" t="s">
        <v>6288</v>
      </c>
      <c r="K290" s="81" t="s">
        <v>31</v>
      </c>
      <c r="L290" s="82">
        <v>42611</v>
      </c>
      <c r="M290" s="83">
        <v>42911</v>
      </c>
      <c r="N290" s="80">
        <v>481235.53</v>
      </c>
      <c r="O290" s="82" t="s">
        <v>5771</v>
      </c>
      <c r="P290" s="84"/>
      <c r="Q290" s="80">
        <v>53369.479999999981</v>
      </c>
      <c r="R290" s="80">
        <v>534605.01</v>
      </c>
      <c r="S290" s="80" t="s">
        <v>46</v>
      </c>
      <c r="T290" s="81" t="s">
        <v>6289</v>
      </c>
      <c r="U290" s="80">
        <v>473025.93</v>
      </c>
      <c r="V290" s="80"/>
      <c r="W290" s="80"/>
      <c r="X290" s="80">
        <v>473025.93</v>
      </c>
      <c r="Y290" s="76" t="s">
        <v>6290</v>
      </c>
      <c r="Z290" s="19" t="s">
        <v>7038</v>
      </c>
      <c r="AA290" s="28" t="s">
        <v>7332</v>
      </c>
      <c r="AB290" s="56">
        <v>43404</v>
      </c>
      <c r="AC290" s="28" t="s">
        <v>7333</v>
      </c>
      <c r="AD290" s="28" t="s">
        <v>7334</v>
      </c>
      <c r="AE290" s="54" t="s">
        <v>7340</v>
      </c>
      <c r="AF290" s="54"/>
      <c r="AG290" s="54" t="s">
        <v>7346</v>
      </c>
      <c r="AH290" s="53" t="s">
        <v>1591</v>
      </c>
      <c r="AI290" s="53" t="s">
        <v>2686</v>
      </c>
      <c r="AJ290" s="53" t="s">
        <v>1591</v>
      </c>
    </row>
    <row r="291" spans="1:36" s="3" customFormat="1" ht="48" x14ac:dyDescent="0.25">
      <c r="A291" s="35" t="s">
        <v>2685</v>
      </c>
      <c r="B291" s="18" t="s">
        <v>449</v>
      </c>
      <c r="C291" s="76"/>
      <c r="D291" s="43" t="s">
        <v>6291</v>
      </c>
      <c r="E291" s="78"/>
      <c r="F291" s="36" t="s">
        <v>451</v>
      </c>
      <c r="G291" s="80"/>
      <c r="H291" s="80"/>
      <c r="I291" s="36" t="s">
        <v>458</v>
      </c>
      <c r="J291" s="34" t="s">
        <v>6292</v>
      </c>
      <c r="K291" s="37" t="s">
        <v>459</v>
      </c>
      <c r="L291" s="38">
        <v>41796</v>
      </c>
      <c r="M291" s="39">
        <v>42156</v>
      </c>
      <c r="N291" s="42">
        <v>32617162.329999998</v>
      </c>
      <c r="O291" s="85">
        <v>42161</v>
      </c>
      <c r="P291" s="86">
        <v>42161</v>
      </c>
      <c r="Q291" s="41">
        <v>0</v>
      </c>
      <c r="R291" s="41">
        <v>32617162.329999998</v>
      </c>
      <c r="S291" s="80"/>
      <c r="T291" s="81"/>
      <c r="U291" s="80"/>
      <c r="V291" s="80"/>
      <c r="W291" s="42"/>
      <c r="X291" s="42">
        <v>21642.87</v>
      </c>
      <c r="Y291" s="34" t="s">
        <v>4321</v>
      </c>
      <c r="Z291" s="19" t="s">
        <v>7038</v>
      </c>
      <c r="AA291" s="28"/>
      <c r="AB291" s="56"/>
      <c r="AC291" s="28"/>
      <c r="AD291" s="28"/>
      <c r="AE291" s="54"/>
      <c r="AF291" s="54"/>
      <c r="AG291" s="54"/>
      <c r="AH291" s="53"/>
      <c r="AI291" s="53" t="s">
        <v>1591</v>
      </c>
      <c r="AJ291" s="53" t="s">
        <v>1591</v>
      </c>
    </row>
    <row r="292" spans="1:36" s="3" customFormat="1" ht="36" x14ac:dyDescent="0.25">
      <c r="A292" s="35" t="s">
        <v>2685</v>
      </c>
      <c r="B292" s="18" t="s">
        <v>449</v>
      </c>
      <c r="C292" s="76"/>
      <c r="D292" s="43" t="s">
        <v>6293</v>
      </c>
      <c r="E292" s="78"/>
      <c r="F292" s="36" t="s">
        <v>451</v>
      </c>
      <c r="G292" s="80"/>
      <c r="H292" s="80"/>
      <c r="I292" s="36" t="s">
        <v>452</v>
      </c>
      <c r="J292" s="34" t="s">
        <v>453</v>
      </c>
      <c r="K292" s="37" t="s">
        <v>454</v>
      </c>
      <c r="L292" s="38">
        <v>41796</v>
      </c>
      <c r="M292" s="39">
        <v>42156</v>
      </c>
      <c r="N292" s="42">
        <v>30583267.91</v>
      </c>
      <c r="O292" s="85">
        <v>42161</v>
      </c>
      <c r="P292" s="86">
        <v>42161</v>
      </c>
      <c r="Q292" s="41">
        <v>0</v>
      </c>
      <c r="R292" s="41">
        <v>30583267.91</v>
      </c>
      <c r="S292" s="80"/>
      <c r="T292" s="81"/>
      <c r="U292" s="80"/>
      <c r="V292" s="80"/>
      <c r="W292" s="42"/>
      <c r="X292" s="42">
        <v>21199.5</v>
      </c>
      <c r="Y292" s="34" t="s">
        <v>4321</v>
      </c>
      <c r="Z292" s="19" t="s">
        <v>7038</v>
      </c>
      <c r="AA292" s="28"/>
      <c r="AB292" s="56"/>
      <c r="AC292" s="28"/>
      <c r="AD292" s="28"/>
      <c r="AE292" s="54"/>
      <c r="AF292" s="54"/>
      <c r="AG292" s="54"/>
      <c r="AH292" s="53"/>
      <c r="AI292" s="53" t="s">
        <v>1591</v>
      </c>
      <c r="AJ292" s="53" t="s">
        <v>1591</v>
      </c>
    </row>
    <row r="293" spans="1:36" s="3" customFormat="1" ht="36" x14ac:dyDescent="0.25">
      <c r="A293" s="17" t="s">
        <v>182</v>
      </c>
      <c r="B293" s="18" t="s">
        <v>449</v>
      </c>
      <c r="C293" s="76" t="s">
        <v>6294</v>
      </c>
      <c r="D293" s="45" t="s">
        <v>6295</v>
      </c>
      <c r="E293" s="78" t="s">
        <v>6296</v>
      </c>
      <c r="F293" s="79" t="s">
        <v>451</v>
      </c>
      <c r="G293" s="80">
        <v>9862516.0399999991</v>
      </c>
      <c r="H293" s="80">
        <v>9516949.5299999993</v>
      </c>
      <c r="I293" s="78" t="s">
        <v>6297</v>
      </c>
      <c r="J293" s="79" t="s">
        <v>6298</v>
      </c>
      <c r="K293" s="81" t="s">
        <v>6299</v>
      </c>
      <c r="L293" s="82">
        <v>40002</v>
      </c>
      <c r="M293" s="83">
        <v>40367</v>
      </c>
      <c r="N293" s="80">
        <v>19379465.57</v>
      </c>
      <c r="O293" s="82">
        <v>41828</v>
      </c>
      <c r="P293" s="84" t="s">
        <v>6300</v>
      </c>
      <c r="Q293" s="80">
        <v>3825798.8299999982</v>
      </c>
      <c r="R293" s="80">
        <v>23205264.399999999</v>
      </c>
      <c r="S293" s="80">
        <v>1069633.1200000001</v>
      </c>
      <c r="T293" s="81" t="s">
        <v>467</v>
      </c>
      <c r="U293" s="80">
        <v>17481773.280000001</v>
      </c>
      <c r="V293" s="80"/>
      <c r="W293" s="80"/>
      <c r="X293" s="80">
        <v>17862672.199999999</v>
      </c>
      <c r="Y293" s="76" t="s">
        <v>472</v>
      </c>
      <c r="Z293" s="19" t="s">
        <v>7038</v>
      </c>
      <c r="AA293" s="28"/>
      <c r="AB293" s="56"/>
      <c r="AC293" s="28"/>
      <c r="AD293" s="28"/>
      <c r="AE293" s="54"/>
      <c r="AF293" s="54"/>
      <c r="AG293" s="54"/>
      <c r="AH293" s="53"/>
      <c r="AI293" s="53" t="s">
        <v>1591</v>
      </c>
      <c r="AJ293" s="53" t="s">
        <v>1591</v>
      </c>
    </row>
    <row r="294" spans="1:36" s="3" customFormat="1" ht="108" x14ac:dyDescent="0.25">
      <c r="A294" s="17" t="s">
        <v>182</v>
      </c>
      <c r="B294" s="18" t="s">
        <v>2656</v>
      </c>
      <c r="C294" s="19" t="s">
        <v>2659</v>
      </c>
      <c r="D294" s="45" t="s">
        <v>2660</v>
      </c>
      <c r="E294" s="50" t="s">
        <v>2661</v>
      </c>
      <c r="F294" s="58" t="s">
        <v>2658</v>
      </c>
      <c r="G294" s="51">
        <v>76783829.849999994</v>
      </c>
      <c r="H294" s="51">
        <v>199031410.68000001</v>
      </c>
      <c r="I294" s="50" t="s">
        <v>2662</v>
      </c>
      <c r="J294" s="58" t="s">
        <v>2663</v>
      </c>
      <c r="K294" s="52" t="s">
        <v>2664</v>
      </c>
      <c r="L294" s="59">
        <v>40792</v>
      </c>
      <c r="M294" s="60">
        <f>L294+720</f>
        <v>41512</v>
      </c>
      <c r="N294" s="51">
        <v>275815240.54000002</v>
      </c>
      <c r="O294" s="59">
        <v>41511</v>
      </c>
      <c r="P294" s="59">
        <v>0</v>
      </c>
      <c r="Q294" s="51">
        <v>3201000</v>
      </c>
      <c r="R294" s="51">
        <f t="shared" ref="R294:R297" si="10">N294+Q294</f>
        <v>279016240.54000002</v>
      </c>
      <c r="S294" s="51">
        <v>0</v>
      </c>
      <c r="T294" s="52"/>
      <c r="U294" s="51">
        <v>0</v>
      </c>
      <c r="V294" s="51"/>
      <c r="W294" s="51">
        <v>0</v>
      </c>
      <c r="X294" s="51">
        <v>197055999.28000003</v>
      </c>
      <c r="Y294" s="19" t="s">
        <v>1473</v>
      </c>
      <c r="Z294" s="19"/>
      <c r="AA294" s="28" t="s">
        <v>7347</v>
      </c>
      <c r="AB294" s="56">
        <v>43410</v>
      </c>
      <c r="AC294" s="28" t="s">
        <v>7348</v>
      </c>
      <c r="AD294" s="28" t="s">
        <v>7349</v>
      </c>
      <c r="AE294" s="54" t="s">
        <v>7350</v>
      </c>
      <c r="AF294" s="54"/>
      <c r="AG294" s="54" t="s">
        <v>7351</v>
      </c>
      <c r="AH294" s="53" t="s">
        <v>1591</v>
      </c>
      <c r="AI294" s="53" t="s">
        <v>2686</v>
      </c>
      <c r="AJ294" s="53" t="s">
        <v>1591</v>
      </c>
    </row>
    <row r="295" spans="1:36" s="3" customFormat="1" ht="192" x14ac:dyDescent="0.25">
      <c r="A295" s="17" t="s">
        <v>182</v>
      </c>
      <c r="B295" s="18" t="s">
        <v>2656</v>
      </c>
      <c r="C295" s="19" t="s">
        <v>101</v>
      </c>
      <c r="D295" s="45" t="s">
        <v>2665</v>
      </c>
      <c r="E295" s="50"/>
      <c r="F295" s="58"/>
      <c r="G295" s="51"/>
      <c r="H295" s="51"/>
      <c r="I295" s="50" t="s">
        <v>566</v>
      </c>
      <c r="J295" s="58" t="s">
        <v>2666</v>
      </c>
      <c r="K295" s="52" t="s">
        <v>2667</v>
      </c>
      <c r="L295" s="59">
        <v>42333</v>
      </c>
      <c r="M295" s="60">
        <f>L295+365</f>
        <v>42698</v>
      </c>
      <c r="N295" s="51">
        <v>15235398.289999999</v>
      </c>
      <c r="O295" s="59">
        <v>42697</v>
      </c>
      <c r="P295" s="59" t="s">
        <v>1074</v>
      </c>
      <c r="Q295" s="51">
        <v>0</v>
      </c>
      <c r="R295" s="51">
        <f t="shared" si="10"/>
        <v>15235398.289999999</v>
      </c>
      <c r="S295" s="51">
        <v>0</v>
      </c>
      <c r="T295" s="52"/>
      <c r="U295" s="51">
        <v>0</v>
      </c>
      <c r="V295" s="51"/>
      <c r="W295" s="51">
        <v>0</v>
      </c>
      <c r="X295" s="51">
        <v>1603772.68</v>
      </c>
      <c r="Y295" s="19" t="s">
        <v>2657</v>
      </c>
      <c r="Z295" s="19"/>
      <c r="AA295" s="28" t="s">
        <v>7347</v>
      </c>
      <c r="AB295" s="56">
        <v>43410</v>
      </c>
      <c r="AC295" s="28" t="s">
        <v>7348</v>
      </c>
      <c r="AD295" s="28" t="s">
        <v>7349</v>
      </c>
      <c r="AE295" s="54" t="s">
        <v>7352</v>
      </c>
      <c r="AF295" s="54"/>
      <c r="AG295" s="54" t="s">
        <v>7353</v>
      </c>
      <c r="AH295" s="53" t="s">
        <v>1591</v>
      </c>
      <c r="AI295" s="53" t="s">
        <v>2686</v>
      </c>
      <c r="AJ295" s="53" t="s">
        <v>1591</v>
      </c>
    </row>
    <row r="296" spans="1:36" s="3" customFormat="1" ht="48" x14ac:dyDescent="0.25">
      <c r="A296" s="17" t="s">
        <v>182</v>
      </c>
      <c r="B296" s="18" t="s">
        <v>2656</v>
      </c>
      <c r="C296" s="19" t="s">
        <v>3438</v>
      </c>
      <c r="D296" s="45" t="s">
        <v>3991</v>
      </c>
      <c r="E296" s="50"/>
      <c r="F296" s="58"/>
      <c r="G296" s="51"/>
      <c r="H296" s="51"/>
      <c r="I296" s="50" t="s">
        <v>4146</v>
      </c>
      <c r="J296" s="58" t="s">
        <v>4147</v>
      </c>
      <c r="K296" s="52" t="s">
        <v>4148</v>
      </c>
      <c r="L296" s="59">
        <v>42947</v>
      </c>
      <c r="M296" s="60">
        <f>L296+243</f>
        <v>43190</v>
      </c>
      <c r="N296" s="51">
        <v>1998785.26</v>
      </c>
      <c r="O296" s="59">
        <v>43190</v>
      </c>
      <c r="P296" s="59">
        <v>0</v>
      </c>
      <c r="Q296" s="51">
        <v>0</v>
      </c>
      <c r="R296" s="51">
        <f t="shared" si="10"/>
        <v>1998785.26</v>
      </c>
      <c r="S296" s="51">
        <v>0</v>
      </c>
      <c r="T296" s="52"/>
      <c r="U296" s="51">
        <v>0</v>
      </c>
      <c r="V296" s="51"/>
      <c r="W296" s="51">
        <v>0</v>
      </c>
      <c r="X296" s="51">
        <v>0</v>
      </c>
      <c r="Y296" s="19" t="s">
        <v>202</v>
      </c>
      <c r="Z296" s="19"/>
      <c r="AA296" s="28" t="s">
        <v>7347</v>
      </c>
      <c r="AB296" s="56">
        <v>43410</v>
      </c>
      <c r="AC296" s="28" t="s">
        <v>7348</v>
      </c>
      <c r="AD296" s="28" t="s">
        <v>7349</v>
      </c>
      <c r="AE296" s="54" t="s">
        <v>7354</v>
      </c>
      <c r="AF296" s="54"/>
      <c r="AG296" s="54" t="s">
        <v>7355</v>
      </c>
      <c r="AH296" s="53" t="s">
        <v>1591</v>
      </c>
      <c r="AI296" s="53" t="s">
        <v>2686</v>
      </c>
      <c r="AJ296" s="53" t="s">
        <v>1591</v>
      </c>
    </row>
    <row r="297" spans="1:36" s="3" customFormat="1" ht="96" x14ac:dyDescent="0.25">
      <c r="A297" s="17" t="s">
        <v>182</v>
      </c>
      <c r="B297" s="18" t="s">
        <v>2656</v>
      </c>
      <c r="C297" s="19" t="s">
        <v>682</v>
      </c>
      <c r="D297" s="45" t="s">
        <v>2668</v>
      </c>
      <c r="E297" s="50"/>
      <c r="F297" s="58"/>
      <c r="G297" s="51"/>
      <c r="H297" s="51"/>
      <c r="I297" s="50" t="s">
        <v>2669</v>
      </c>
      <c r="J297" s="58" t="s">
        <v>2670</v>
      </c>
      <c r="K297" s="52" t="s">
        <v>2671</v>
      </c>
      <c r="L297" s="59">
        <v>42538</v>
      </c>
      <c r="M297" s="60">
        <f>L297+135</f>
        <v>42673</v>
      </c>
      <c r="N297" s="51">
        <v>302542.7</v>
      </c>
      <c r="O297" s="59">
        <v>42748</v>
      </c>
      <c r="P297" s="59">
        <f>M297+75</f>
        <v>42748</v>
      </c>
      <c r="Q297" s="51">
        <v>0</v>
      </c>
      <c r="R297" s="51">
        <f t="shared" si="10"/>
        <v>302542.7</v>
      </c>
      <c r="S297" s="51">
        <v>0</v>
      </c>
      <c r="T297" s="52"/>
      <c r="U297" s="51">
        <v>0</v>
      </c>
      <c r="V297" s="51"/>
      <c r="W297" s="51">
        <v>0</v>
      </c>
      <c r="X297" s="51">
        <v>53639.03</v>
      </c>
      <c r="Y297" s="19" t="s">
        <v>2657</v>
      </c>
      <c r="Z297" s="19"/>
      <c r="AA297" s="28" t="s">
        <v>7347</v>
      </c>
      <c r="AB297" s="56">
        <v>43410</v>
      </c>
      <c r="AC297" s="28" t="s">
        <v>7348</v>
      </c>
      <c r="AD297" s="28" t="s">
        <v>7349</v>
      </c>
      <c r="AE297" s="54" t="s">
        <v>7356</v>
      </c>
      <c r="AF297" s="54"/>
      <c r="AG297" s="54" t="s">
        <v>7357</v>
      </c>
      <c r="AH297" s="53" t="s">
        <v>1591</v>
      </c>
      <c r="AI297" s="53" t="s">
        <v>2686</v>
      </c>
      <c r="AJ297" s="53" t="s">
        <v>1591</v>
      </c>
    </row>
    <row r="298" spans="1:36" s="3" customFormat="1" ht="60" x14ac:dyDescent="0.25">
      <c r="A298" s="17" t="s">
        <v>182</v>
      </c>
      <c r="B298" s="18" t="s">
        <v>2656</v>
      </c>
      <c r="C298" s="19" t="s">
        <v>2672</v>
      </c>
      <c r="D298" s="45" t="s">
        <v>2673</v>
      </c>
      <c r="E298" s="50"/>
      <c r="F298" s="58"/>
      <c r="G298" s="51"/>
      <c r="H298" s="51"/>
      <c r="I298" s="50" t="s">
        <v>2232</v>
      </c>
      <c r="J298" s="58" t="s">
        <v>2674</v>
      </c>
      <c r="K298" s="52" t="s">
        <v>2675</v>
      </c>
      <c r="L298" s="59">
        <v>42571</v>
      </c>
      <c r="M298" s="60">
        <f>L298+90</f>
        <v>42661</v>
      </c>
      <c r="N298" s="51">
        <v>29172.7</v>
      </c>
      <c r="O298" s="59">
        <v>42750</v>
      </c>
      <c r="P298" s="59">
        <f>M298+90</f>
        <v>42751</v>
      </c>
      <c r="Q298" s="51">
        <v>0</v>
      </c>
      <c r="R298" s="51">
        <f>N298+Q298</f>
        <v>29172.7</v>
      </c>
      <c r="S298" s="51">
        <v>0</v>
      </c>
      <c r="T298" s="52"/>
      <c r="U298" s="51">
        <v>0</v>
      </c>
      <c r="V298" s="51"/>
      <c r="W298" s="51">
        <v>29172.7</v>
      </c>
      <c r="X298" s="51">
        <v>29172.7</v>
      </c>
      <c r="Y298" s="19" t="s">
        <v>1473</v>
      </c>
      <c r="Z298" s="19"/>
      <c r="AA298" s="28" t="s">
        <v>7347</v>
      </c>
      <c r="AB298" s="56">
        <v>43410</v>
      </c>
      <c r="AC298" s="28" t="s">
        <v>7348</v>
      </c>
      <c r="AD298" s="28" t="s">
        <v>7349</v>
      </c>
      <c r="AE298" s="54" t="s">
        <v>7358</v>
      </c>
      <c r="AF298" s="54"/>
      <c r="AG298" s="54" t="s">
        <v>7359</v>
      </c>
      <c r="AH298" s="53" t="s">
        <v>1591</v>
      </c>
      <c r="AI298" s="53" t="s">
        <v>2686</v>
      </c>
      <c r="AJ298" s="53" t="s">
        <v>1591</v>
      </c>
    </row>
    <row r="299" spans="1:36" s="3" customFormat="1" ht="48" x14ac:dyDescent="0.25">
      <c r="A299" s="17" t="s">
        <v>182</v>
      </c>
      <c r="B299" s="18" t="s">
        <v>2656</v>
      </c>
      <c r="C299" s="19" t="s">
        <v>3989</v>
      </c>
      <c r="D299" s="45" t="s">
        <v>3990</v>
      </c>
      <c r="E299" s="50"/>
      <c r="F299" s="58"/>
      <c r="G299" s="51"/>
      <c r="H299" s="51"/>
      <c r="I299" s="50" t="s">
        <v>4143</v>
      </c>
      <c r="J299" s="58" t="s">
        <v>4144</v>
      </c>
      <c r="K299" s="52" t="s">
        <v>4145</v>
      </c>
      <c r="L299" s="59">
        <v>42870</v>
      </c>
      <c r="M299" s="60">
        <f>L299+30</f>
        <v>42900</v>
      </c>
      <c r="N299" s="51">
        <v>14535</v>
      </c>
      <c r="O299" s="59">
        <v>42899</v>
      </c>
      <c r="P299" s="59">
        <v>0</v>
      </c>
      <c r="Q299" s="51">
        <v>0</v>
      </c>
      <c r="R299" s="51">
        <f>N299+Q299</f>
        <v>14535</v>
      </c>
      <c r="S299" s="51">
        <v>0</v>
      </c>
      <c r="T299" s="52"/>
      <c r="U299" s="51">
        <v>14535</v>
      </c>
      <c r="V299" s="51"/>
      <c r="W299" s="51">
        <v>14535</v>
      </c>
      <c r="X299" s="51">
        <v>14535</v>
      </c>
      <c r="Y299" s="19" t="s">
        <v>1473</v>
      </c>
      <c r="Z299" s="19"/>
      <c r="AA299" s="28" t="s">
        <v>7347</v>
      </c>
      <c r="AB299" s="56">
        <v>43410</v>
      </c>
      <c r="AC299" s="28" t="s">
        <v>7348</v>
      </c>
      <c r="AD299" s="28" t="s">
        <v>7349</v>
      </c>
      <c r="AE299" s="54" t="s">
        <v>7358</v>
      </c>
      <c r="AF299" s="54"/>
      <c r="AG299" s="54" t="s">
        <v>7360</v>
      </c>
      <c r="AH299" s="53" t="s">
        <v>1591</v>
      </c>
      <c r="AI299" s="53" t="s">
        <v>2686</v>
      </c>
      <c r="AJ299" s="53" t="s">
        <v>1591</v>
      </c>
    </row>
    <row r="300" spans="1:36" s="3" customFormat="1" ht="60" x14ac:dyDescent="0.25">
      <c r="A300" s="17" t="s">
        <v>182</v>
      </c>
      <c r="B300" s="18" t="s">
        <v>475</v>
      </c>
      <c r="C300" s="76" t="s">
        <v>6303</v>
      </c>
      <c r="D300" s="45" t="s">
        <v>6304</v>
      </c>
      <c r="E300" s="78"/>
      <c r="F300" s="79"/>
      <c r="G300" s="80"/>
      <c r="H300" s="80"/>
      <c r="I300" s="78" t="s">
        <v>6305</v>
      </c>
      <c r="J300" s="79" t="s">
        <v>6306</v>
      </c>
      <c r="K300" s="81" t="s">
        <v>6307</v>
      </c>
      <c r="L300" s="82">
        <v>42649</v>
      </c>
      <c r="M300" s="83"/>
      <c r="N300" s="80">
        <v>220692.54</v>
      </c>
      <c r="O300" s="82">
        <v>41681</v>
      </c>
      <c r="P300" s="84" t="s">
        <v>5553</v>
      </c>
      <c r="Q300" s="80">
        <v>0</v>
      </c>
      <c r="R300" s="80">
        <v>220692.54</v>
      </c>
      <c r="S300" s="80" t="s">
        <v>5553</v>
      </c>
      <c r="T300" s="81" t="s">
        <v>6302</v>
      </c>
      <c r="U300" s="80">
        <v>220692.54</v>
      </c>
      <c r="V300" s="80"/>
      <c r="W300" s="80"/>
      <c r="X300" s="80">
        <v>11881590.539999999</v>
      </c>
      <c r="Y300" s="76" t="s">
        <v>484</v>
      </c>
      <c r="Z300" s="19" t="s">
        <v>7038</v>
      </c>
      <c r="AA300" s="28"/>
      <c r="AB300" s="56"/>
      <c r="AC300" s="28"/>
      <c r="AD300" s="28"/>
      <c r="AE300" s="54"/>
      <c r="AF300" s="54"/>
      <c r="AG300" s="54"/>
      <c r="AH300" s="53"/>
      <c r="AI300" s="53" t="s">
        <v>1591</v>
      </c>
      <c r="AJ300" s="53" t="s">
        <v>1591</v>
      </c>
    </row>
    <row r="301" spans="1:36" s="3" customFormat="1" ht="168" x14ac:dyDescent="0.25">
      <c r="A301" s="17" t="s">
        <v>182</v>
      </c>
      <c r="B301" s="18" t="s">
        <v>491</v>
      </c>
      <c r="C301" s="19" t="s">
        <v>4105</v>
      </c>
      <c r="D301" s="45" t="s">
        <v>4106</v>
      </c>
      <c r="E301" s="50" t="s">
        <v>4249</v>
      </c>
      <c r="F301" s="58" t="s">
        <v>43</v>
      </c>
      <c r="G301" s="51">
        <v>1265711.74</v>
      </c>
      <c r="H301" s="51">
        <v>31000</v>
      </c>
      <c r="I301" s="50" t="s">
        <v>650</v>
      </c>
      <c r="J301" s="58" t="s">
        <v>4250</v>
      </c>
      <c r="K301" s="52" t="s">
        <v>334</v>
      </c>
      <c r="L301" s="59">
        <v>42552</v>
      </c>
      <c r="M301" s="60">
        <f>L301+60</f>
        <v>42612</v>
      </c>
      <c r="N301" s="51">
        <v>2013619.57</v>
      </c>
      <c r="O301" s="59">
        <v>43101</v>
      </c>
      <c r="P301" s="59" t="s">
        <v>46</v>
      </c>
      <c r="Q301" s="51"/>
      <c r="R301" s="51">
        <f>N301+Q301</f>
        <v>2013619.57</v>
      </c>
      <c r="S301" s="51" t="s">
        <v>46</v>
      </c>
      <c r="T301" s="52" t="s">
        <v>52</v>
      </c>
      <c r="U301" s="51">
        <v>697662.81</v>
      </c>
      <c r="V301" s="51">
        <v>144956.49</v>
      </c>
      <c r="W301" s="51">
        <v>144956.49</v>
      </c>
      <c r="X301" s="51">
        <v>697662.81</v>
      </c>
      <c r="Y301" s="19" t="s">
        <v>4306</v>
      </c>
      <c r="Z301" s="19"/>
      <c r="AA301" s="28" t="s">
        <v>7361</v>
      </c>
      <c r="AB301" s="56">
        <v>43395</v>
      </c>
      <c r="AC301" s="28" t="s">
        <v>7362</v>
      </c>
      <c r="AD301" s="28" t="s">
        <v>7363</v>
      </c>
      <c r="AE301" s="54" t="s">
        <v>7364</v>
      </c>
      <c r="AF301" s="54"/>
      <c r="AG301" s="54" t="s">
        <v>7365</v>
      </c>
      <c r="AH301" s="53" t="s">
        <v>1591</v>
      </c>
      <c r="AI301" s="53" t="s">
        <v>2686</v>
      </c>
      <c r="AJ301" s="53" t="s">
        <v>1591</v>
      </c>
    </row>
    <row r="302" spans="1:36" s="3" customFormat="1" ht="48" x14ac:dyDescent="0.25">
      <c r="A302" s="17" t="s">
        <v>1823</v>
      </c>
      <c r="B302" s="18" t="s">
        <v>2306</v>
      </c>
      <c r="C302" s="76" t="s">
        <v>2274</v>
      </c>
      <c r="D302" s="45" t="s">
        <v>6349</v>
      </c>
      <c r="E302" s="78" t="s">
        <v>6350</v>
      </c>
      <c r="F302" s="79" t="s">
        <v>2307</v>
      </c>
      <c r="G302" s="80" t="s">
        <v>200</v>
      </c>
      <c r="H302" s="80" t="s">
        <v>200</v>
      </c>
      <c r="I302" s="78" t="s">
        <v>1419</v>
      </c>
      <c r="J302" s="79" t="s">
        <v>6351</v>
      </c>
      <c r="K302" s="81" t="s">
        <v>6352</v>
      </c>
      <c r="L302" s="82">
        <v>41548</v>
      </c>
      <c r="M302" s="83">
        <v>42460</v>
      </c>
      <c r="N302" s="80">
        <v>40890000</v>
      </c>
      <c r="O302" s="82">
        <v>42233</v>
      </c>
      <c r="P302" s="84" t="s">
        <v>46</v>
      </c>
      <c r="Q302" s="80">
        <v>0</v>
      </c>
      <c r="R302" s="80">
        <v>40890000</v>
      </c>
      <c r="S302" s="80">
        <v>2525740.06</v>
      </c>
      <c r="T302" s="81" t="s">
        <v>52</v>
      </c>
      <c r="U302" s="80"/>
      <c r="V302" s="80"/>
      <c r="W302" s="80"/>
      <c r="X302" s="80">
        <v>6850920.7599999998</v>
      </c>
      <c r="Y302" s="76" t="s">
        <v>6353</v>
      </c>
      <c r="Z302" s="19" t="s">
        <v>7038</v>
      </c>
      <c r="AA302" s="28" t="s">
        <v>8439</v>
      </c>
      <c r="AB302" s="56">
        <v>43405</v>
      </c>
      <c r="AC302" s="28" t="s">
        <v>7366</v>
      </c>
      <c r="AD302" s="28" t="s">
        <v>7367</v>
      </c>
      <c r="AE302" s="54"/>
      <c r="AF302" s="54"/>
      <c r="AG302" s="54" t="s">
        <v>7368</v>
      </c>
      <c r="AH302" s="53" t="s">
        <v>1591</v>
      </c>
      <c r="AI302" s="53" t="s">
        <v>2686</v>
      </c>
      <c r="AJ302" s="53" t="s">
        <v>1591</v>
      </c>
    </row>
    <row r="303" spans="1:36" s="3" customFormat="1" ht="48" x14ac:dyDescent="0.25">
      <c r="A303" s="17" t="s">
        <v>1823</v>
      </c>
      <c r="B303" s="18" t="s">
        <v>2306</v>
      </c>
      <c r="C303" s="76" t="s">
        <v>6354</v>
      </c>
      <c r="D303" s="45" t="s">
        <v>6355</v>
      </c>
      <c r="E303" s="78" t="s">
        <v>6350</v>
      </c>
      <c r="F303" s="79" t="s">
        <v>2307</v>
      </c>
      <c r="G303" s="80" t="s">
        <v>200</v>
      </c>
      <c r="H303" s="80" t="s">
        <v>200</v>
      </c>
      <c r="I303" s="78" t="s">
        <v>6356</v>
      </c>
      <c r="J303" s="79" t="s">
        <v>6357</v>
      </c>
      <c r="K303" s="81" t="s">
        <v>6358</v>
      </c>
      <c r="L303" s="82">
        <v>41115</v>
      </c>
      <c r="M303" s="83">
        <v>41654</v>
      </c>
      <c r="N303" s="80">
        <v>13750845.76</v>
      </c>
      <c r="O303" s="82">
        <v>42282</v>
      </c>
      <c r="P303" s="84">
        <v>42287</v>
      </c>
      <c r="Q303" s="80">
        <v>696828.47000000067</v>
      </c>
      <c r="R303" s="80">
        <v>14447674.23</v>
      </c>
      <c r="S303" s="80">
        <v>2704236.99</v>
      </c>
      <c r="T303" s="81" t="s">
        <v>52</v>
      </c>
      <c r="U303" s="80"/>
      <c r="V303" s="80"/>
      <c r="W303" s="80"/>
      <c r="X303" s="80">
        <v>13389864.09</v>
      </c>
      <c r="Y303" s="76" t="s">
        <v>6353</v>
      </c>
      <c r="Z303" s="19" t="s">
        <v>7038</v>
      </c>
      <c r="AA303" s="28" t="s">
        <v>8439</v>
      </c>
      <c r="AB303" s="56">
        <v>43405</v>
      </c>
      <c r="AC303" s="28" t="s">
        <v>7366</v>
      </c>
      <c r="AD303" s="28" t="s">
        <v>7367</v>
      </c>
      <c r="AE303" s="54"/>
      <c r="AF303" s="54"/>
      <c r="AG303" s="54" t="s">
        <v>7368</v>
      </c>
      <c r="AH303" s="53" t="s">
        <v>1591</v>
      </c>
      <c r="AI303" s="53" t="s">
        <v>2686</v>
      </c>
      <c r="AJ303" s="53" t="s">
        <v>1591</v>
      </c>
    </row>
    <row r="304" spans="1:36" s="3" customFormat="1" ht="48" x14ac:dyDescent="0.25">
      <c r="A304" s="35" t="s">
        <v>2706</v>
      </c>
      <c r="B304" s="18" t="s">
        <v>2306</v>
      </c>
      <c r="C304" s="76"/>
      <c r="D304" s="43" t="s">
        <v>6359</v>
      </c>
      <c r="E304" s="78"/>
      <c r="F304" s="36" t="s">
        <v>2307</v>
      </c>
      <c r="G304" s="80"/>
      <c r="H304" s="80"/>
      <c r="I304" s="36" t="s">
        <v>1849</v>
      </c>
      <c r="J304" s="34" t="s">
        <v>6360</v>
      </c>
      <c r="K304" s="37" t="s">
        <v>6361</v>
      </c>
      <c r="L304" s="38">
        <v>42135</v>
      </c>
      <c r="M304" s="39">
        <v>42348</v>
      </c>
      <c r="N304" s="42">
        <v>50728.37</v>
      </c>
      <c r="O304" s="85">
        <v>42348</v>
      </c>
      <c r="P304" s="86">
        <v>42348</v>
      </c>
      <c r="Q304" s="41"/>
      <c r="R304" s="41">
        <v>50728.37</v>
      </c>
      <c r="S304" s="80"/>
      <c r="T304" s="81"/>
      <c r="U304" s="80">
        <v>50728.37</v>
      </c>
      <c r="V304" s="80"/>
      <c r="W304" s="42"/>
      <c r="X304" s="42"/>
      <c r="Y304" s="34" t="s">
        <v>4321</v>
      </c>
      <c r="Z304" s="19" t="s">
        <v>7038</v>
      </c>
      <c r="AA304" s="28" t="s">
        <v>8439</v>
      </c>
      <c r="AB304" s="56">
        <v>43405</v>
      </c>
      <c r="AC304" s="28" t="s">
        <v>7366</v>
      </c>
      <c r="AD304" s="28" t="s">
        <v>7367</v>
      </c>
      <c r="AE304" s="54"/>
      <c r="AF304" s="54"/>
      <c r="AG304" s="54" t="s">
        <v>7368</v>
      </c>
      <c r="AH304" s="53" t="s">
        <v>1591</v>
      </c>
      <c r="AI304" s="53" t="s">
        <v>2686</v>
      </c>
      <c r="AJ304" s="53" t="s">
        <v>1591</v>
      </c>
    </row>
    <row r="305" spans="1:36" s="3" customFormat="1" ht="204" x14ac:dyDescent="0.25">
      <c r="A305" s="17" t="s">
        <v>1823</v>
      </c>
      <c r="B305" s="18" t="s">
        <v>3640</v>
      </c>
      <c r="C305" s="19" t="s">
        <v>3647</v>
      </c>
      <c r="D305" s="45" t="s">
        <v>3648</v>
      </c>
      <c r="E305" s="50"/>
      <c r="F305" s="58"/>
      <c r="G305" s="51"/>
      <c r="H305" s="51"/>
      <c r="I305" s="50" t="s">
        <v>3902</v>
      </c>
      <c r="J305" s="58" t="s">
        <v>3903</v>
      </c>
      <c r="K305" s="52" t="s">
        <v>323</v>
      </c>
      <c r="L305" s="59">
        <v>42136</v>
      </c>
      <c r="M305" s="60">
        <f>L305+150</f>
        <v>42286</v>
      </c>
      <c r="N305" s="51">
        <v>513229.47</v>
      </c>
      <c r="O305" s="59">
        <v>42736</v>
      </c>
      <c r="P305" s="59">
        <f>M305+600</f>
        <v>42886</v>
      </c>
      <c r="Q305" s="51"/>
      <c r="R305" s="51">
        <f>N305+Q305</f>
        <v>513229.47</v>
      </c>
      <c r="S305" s="51"/>
      <c r="T305" s="52"/>
      <c r="U305" s="51">
        <v>513229.47</v>
      </c>
      <c r="V305" s="51">
        <v>0</v>
      </c>
      <c r="W305" s="51">
        <v>0</v>
      </c>
      <c r="X305" s="51"/>
      <c r="Y305" s="19" t="s">
        <v>2311</v>
      </c>
      <c r="Z305" s="19"/>
      <c r="AA305" s="28" t="s">
        <v>7369</v>
      </c>
      <c r="AB305" s="56">
        <v>43395</v>
      </c>
      <c r="AC305" s="28" t="s">
        <v>7370</v>
      </c>
      <c r="AD305" s="28" t="s">
        <v>7371</v>
      </c>
      <c r="AE305" s="54" t="s">
        <v>7372</v>
      </c>
      <c r="AF305" s="54"/>
      <c r="AG305" s="54" t="s">
        <v>7373</v>
      </c>
      <c r="AH305" s="53" t="s">
        <v>1591</v>
      </c>
      <c r="AI305" s="53" t="s">
        <v>2686</v>
      </c>
      <c r="AJ305" s="53" t="s">
        <v>1591</v>
      </c>
    </row>
    <row r="306" spans="1:36" s="3" customFormat="1" ht="72" x14ac:dyDescent="0.25">
      <c r="A306" s="17" t="s">
        <v>1823</v>
      </c>
      <c r="B306" s="18" t="s">
        <v>3640</v>
      </c>
      <c r="C306" s="19" t="s">
        <v>3645</v>
      </c>
      <c r="D306" s="45" t="s">
        <v>3646</v>
      </c>
      <c r="E306" s="50"/>
      <c r="F306" s="58"/>
      <c r="G306" s="51"/>
      <c r="H306" s="51"/>
      <c r="I306" s="50" t="s">
        <v>3902</v>
      </c>
      <c r="J306" s="58" t="s">
        <v>3903</v>
      </c>
      <c r="K306" s="52" t="s">
        <v>743</v>
      </c>
      <c r="L306" s="59">
        <v>42095</v>
      </c>
      <c r="M306" s="60">
        <f>L306+120</f>
        <v>42215</v>
      </c>
      <c r="N306" s="51">
        <v>340522.25</v>
      </c>
      <c r="O306" s="59">
        <v>42472</v>
      </c>
      <c r="P306" s="59">
        <f>M306+480</f>
        <v>42695</v>
      </c>
      <c r="Q306" s="51">
        <v>85121.4</v>
      </c>
      <c r="R306" s="51">
        <f>N306+Q306</f>
        <v>425643.65</v>
      </c>
      <c r="S306" s="51"/>
      <c r="T306" s="52"/>
      <c r="U306" s="51">
        <v>425643.65</v>
      </c>
      <c r="V306" s="51">
        <v>0</v>
      </c>
      <c r="W306" s="51">
        <v>0</v>
      </c>
      <c r="X306" s="51"/>
      <c r="Y306" s="19" t="s">
        <v>437</v>
      </c>
      <c r="Z306" s="19"/>
      <c r="AA306" s="28" t="s">
        <v>7369</v>
      </c>
      <c r="AB306" s="56">
        <v>43395</v>
      </c>
      <c r="AC306" s="28" t="s">
        <v>7370</v>
      </c>
      <c r="AD306" s="28" t="s">
        <v>7371</v>
      </c>
      <c r="AE306" s="54" t="s">
        <v>7374</v>
      </c>
      <c r="AF306" s="54"/>
      <c r="AG306" s="54" t="s">
        <v>7375</v>
      </c>
      <c r="AH306" s="53" t="s">
        <v>1591</v>
      </c>
      <c r="AI306" s="53" t="s">
        <v>2686</v>
      </c>
      <c r="AJ306" s="53" t="s">
        <v>1591</v>
      </c>
    </row>
    <row r="307" spans="1:36" s="3" customFormat="1" ht="72" x14ac:dyDescent="0.25">
      <c r="A307" s="17" t="s">
        <v>1823</v>
      </c>
      <c r="B307" s="18" t="s">
        <v>3640</v>
      </c>
      <c r="C307" s="19" t="s">
        <v>3649</v>
      </c>
      <c r="D307" s="45" t="s">
        <v>3650</v>
      </c>
      <c r="E307" s="50"/>
      <c r="F307" s="58"/>
      <c r="G307" s="51"/>
      <c r="H307" s="51"/>
      <c r="I307" s="50" t="s">
        <v>2381</v>
      </c>
      <c r="J307" s="58" t="s">
        <v>3904</v>
      </c>
      <c r="K307" s="52" t="s">
        <v>1065</v>
      </c>
      <c r="L307" s="59">
        <v>42244</v>
      </c>
      <c r="M307" s="60">
        <f>L307+90</f>
        <v>42334</v>
      </c>
      <c r="N307" s="51">
        <v>356761.81</v>
      </c>
      <c r="O307" s="59">
        <v>42305</v>
      </c>
      <c r="P307" s="59">
        <f>M307+1650</f>
        <v>43984</v>
      </c>
      <c r="Q307" s="51"/>
      <c r="R307" s="51">
        <f>N307+Q307</f>
        <v>356761.81</v>
      </c>
      <c r="S307" s="51"/>
      <c r="T307" s="52"/>
      <c r="U307" s="51">
        <v>191598.84</v>
      </c>
      <c r="V307" s="51">
        <v>0</v>
      </c>
      <c r="W307" s="51">
        <v>0</v>
      </c>
      <c r="X307" s="51"/>
      <c r="Y307" s="19" t="s">
        <v>437</v>
      </c>
      <c r="Z307" s="19"/>
      <c r="AA307" s="28" t="s">
        <v>7369</v>
      </c>
      <c r="AB307" s="56">
        <v>43395</v>
      </c>
      <c r="AC307" s="28" t="s">
        <v>7370</v>
      </c>
      <c r="AD307" s="28" t="s">
        <v>7371</v>
      </c>
      <c r="AE307" s="54" t="s">
        <v>7374</v>
      </c>
      <c r="AF307" s="54"/>
      <c r="AG307" s="54" t="s">
        <v>7375</v>
      </c>
      <c r="AH307" s="53" t="s">
        <v>1591</v>
      </c>
      <c r="AI307" s="53" t="s">
        <v>2686</v>
      </c>
      <c r="AJ307" s="53" t="s">
        <v>1591</v>
      </c>
    </row>
    <row r="308" spans="1:36" s="3" customFormat="1" ht="72" x14ac:dyDescent="0.25">
      <c r="A308" s="17" t="s">
        <v>1823</v>
      </c>
      <c r="B308" s="18" t="s">
        <v>3640</v>
      </c>
      <c r="C308" s="19" t="s">
        <v>3641</v>
      </c>
      <c r="D308" s="45" t="s">
        <v>3642</v>
      </c>
      <c r="E308" s="50"/>
      <c r="F308" s="58"/>
      <c r="G308" s="51"/>
      <c r="H308" s="51"/>
      <c r="I308" s="50" t="s">
        <v>3902</v>
      </c>
      <c r="J308" s="58" t="s">
        <v>3903</v>
      </c>
      <c r="K308" s="52" t="s">
        <v>2479</v>
      </c>
      <c r="L308" s="59">
        <v>42199</v>
      </c>
      <c r="M308" s="60">
        <f>L308+365</f>
        <v>42564</v>
      </c>
      <c r="N308" s="51">
        <v>338166.73</v>
      </c>
      <c r="O308" s="59">
        <v>42565</v>
      </c>
      <c r="P308" s="59">
        <f>M308+730</f>
        <v>43294</v>
      </c>
      <c r="Q308" s="51"/>
      <c r="R308" s="51">
        <f>N308+Q308</f>
        <v>338166.73</v>
      </c>
      <c r="S308" s="51"/>
      <c r="T308" s="52"/>
      <c r="U308" s="51">
        <v>338166.73</v>
      </c>
      <c r="V308" s="51">
        <v>0</v>
      </c>
      <c r="W308" s="51">
        <v>0</v>
      </c>
      <c r="X308" s="51"/>
      <c r="Y308" s="19" t="s">
        <v>2311</v>
      </c>
      <c r="Z308" s="19"/>
      <c r="AA308" s="28" t="s">
        <v>7369</v>
      </c>
      <c r="AB308" s="56">
        <v>43395</v>
      </c>
      <c r="AC308" s="28" t="s">
        <v>7370</v>
      </c>
      <c r="AD308" s="28" t="s">
        <v>7371</v>
      </c>
      <c r="AE308" s="54" t="s">
        <v>7374</v>
      </c>
      <c r="AF308" s="54"/>
      <c r="AG308" s="54" t="s">
        <v>7376</v>
      </c>
      <c r="AH308" s="53" t="s">
        <v>1591</v>
      </c>
      <c r="AI308" s="53" t="s">
        <v>2686</v>
      </c>
      <c r="AJ308" s="53" t="s">
        <v>1591</v>
      </c>
    </row>
    <row r="309" spans="1:36" s="3" customFormat="1" ht="72" x14ac:dyDescent="0.25">
      <c r="A309" s="17" t="s">
        <v>1823</v>
      </c>
      <c r="B309" s="18" t="s">
        <v>3640</v>
      </c>
      <c r="C309" s="19" t="s">
        <v>3643</v>
      </c>
      <c r="D309" s="45" t="s">
        <v>3644</v>
      </c>
      <c r="E309" s="50"/>
      <c r="F309" s="58"/>
      <c r="G309" s="51"/>
      <c r="H309" s="51"/>
      <c r="I309" s="50" t="s">
        <v>3902</v>
      </c>
      <c r="J309" s="58" t="s">
        <v>3903</v>
      </c>
      <c r="K309" s="52" t="s">
        <v>571</v>
      </c>
      <c r="L309" s="59">
        <v>42109</v>
      </c>
      <c r="M309" s="60">
        <f>L309+90</f>
        <v>42199</v>
      </c>
      <c r="N309" s="51">
        <v>122567</v>
      </c>
      <c r="O309" s="59">
        <v>42289</v>
      </c>
      <c r="P309" s="59">
        <f>M309+780</f>
        <v>42979</v>
      </c>
      <c r="Q309" s="51"/>
      <c r="R309" s="51">
        <f>N309+Q309</f>
        <v>122567</v>
      </c>
      <c r="S309" s="51"/>
      <c r="T309" s="52"/>
      <c r="U309" s="51">
        <v>122567</v>
      </c>
      <c r="V309" s="51">
        <v>0</v>
      </c>
      <c r="W309" s="51">
        <v>0</v>
      </c>
      <c r="X309" s="51"/>
      <c r="Y309" s="19" t="s">
        <v>437</v>
      </c>
      <c r="Z309" s="19"/>
      <c r="AA309" s="28" t="s">
        <v>7369</v>
      </c>
      <c r="AB309" s="56">
        <v>43395</v>
      </c>
      <c r="AC309" s="28" t="s">
        <v>7370</v>
      </c>
      <c r="AD309" s="28" t="s">
        <v>7371</v>
      </c>
      <c r="AE309" s="54" t="s">
        <v>7374</v>
      </c>
      <c r="AF309" s="54"/>
      <c r="AG309" s="54" t="s">
        <v>7375</v>
      </c>
      <c r="AH309" s="53" t="s">
        <v>1591</v>
      </c>
      <c r="AI309" s="53" t="s">
        <v>2686</v>
      </c>
      <c r="AJ309" s="53" t="s">
        <v>1591</v>
      </c>
    </row>
    <row r="310" spans="1:36" s="3" customFormat="1" ht="72" x14ac:dyDescent="0.25">
      <c r="A310" s="35" t="s">
        <v>2706</v>
      </c>
      <c r="B310" s="18" t="s">
        <v>2676</v>
      </c>
      <c r="C310" s="76"/>
      <c r="D310" s="43" t="s">
        <v>6363</v>
      </c>
      <c r="E310" s="78"/>
      <c r="F310" s="36"/>
      <c r="G310" s="80"/>
      <c r="H310" s="80"/>
      <c r="I310" s="36" t="s">
        <v>2303</v>
      </c>
      <c r="J310" s="34" t="s">
        <v>6362</v>
      </c>
      <c r="K310" s="37" t="s">
        <v>6364</v>
      </c>
      <c r="L310" s="38">
        <v>41822</v>
      </c>
      <c r="M310" s="39">
        <v>41942</v>
      </c>
      <c r="N310" s="42">
        <v>392650.31</v>
      </c>
      <c r="O310" s="85">
        <v>41942</v>
      </c>
      <c r="P310" s="86">
        <v>42182</v>
      </c>
      <c r="Q310" s="41">
        <v>98080.78</v>
      </c>
      <c r="R310" s="41">
        <v>490731.08999999997</v>
      </c>
      <c r="S310" s="80"/>
      <c r="T310" s="81"/>
      <c r="U310" s="80"/>
      <c r="V310" s="80"/>
      <c r="W310" s="42"/>
      <c r="X310" s="42">
        <v>95624.2</v>
      </c>
      <c r="Y310" s="34" t="s">
        <v>4321</v>
      </c>
      <c r="Z310" s="19" t="s">
        <v>7038</v>
      </c>
      <c r="AA310" s="28" t="s">
        <v>7377</v>
      </c>
      <c r="AB310" s="56">
        <v>43404</v>
      </c>
      <c r="AC310" s="28" t="s">
        <v>7378</v>
      </c>
      <c r="AD310" s="28" t="s">
        <v>7379</v>
      </c>
      <c r="AE310" s="54" t="s">
        <v>7381</v>
      </c>
      <c r="AF310" s="54"/>
      <c r="AG310" s="54" t="s">
        <v>7380</v>
      </c>
      <c r="AH310" s="53" t="s">
        <v>1591</v>
      </c>
      <c r="AI310" s="53" t="s">
        <v>2686</v>
      </c>
      <c r="AJ310" s="53" t="s">
        <v>1591</v>
      </c>
    </row>
    <row r="311" spans="1:36" s="3" customFormat="1" ht="36" x14ac:dyDescent="0.25">
      <c r="A311" s="35" t="s">
        <v>2706</v>
      </c>
      <c r="B311" s="18" t="s">
        <v>2270</v>
      </c>
      <c r="C311" s="76"/>
      <c r="D311" s="43" t="s">
        <v>6365</v>
      </c>
      <c r="E311" s="78"/>
      <c r="F311" s="36"/>
      <c r="G311" s="80"/>
      <c r="H311" s="80"/>
      <c r="I311" s="36" t="s">
        <v>5347</v>
      </c>
      <c r="J311" s="34" t="s">
        <v>6366</v>
      </c>
      <c r="K311" s="37" t="s">
        <v>658</v>
      </c>
      <c r="L311" s="38">
        <v>41670</v>
      </c>
      <c r="M311" s="39">
        <v>41760</v>
      </c>
      <c r="N311" s="42">
        <v>286541.48</v>
      </c>
      <c r="O311" s="85">
        <v>42123</v>
      </c>
      <c r="P311" s="86">
        <v>41940</v>
      </c>
      <c r="Q311" s="41"/>
      <c r="R311" s="41">
        <v>286541.48</v>
      </c>
      <c r="S311" s="80"/>
      <c r="T311" s="81"/>
      <c r="U311" s="80"/>
      <c r="V311" s="80"/>
      <c r="W311" s="42"/>
      <c r="X311" s="42">
        <v>296233.26</v>
      </c>
      <c r="Y311" s="34" t="s">
        <v>4321</v>
      </c>
      <c r="Z311" s="19" t="s">
        <v>7038</v>
      </c>
      <c r="AA311" s="28"/>
      <c r="AB311" s="56"/>
      <c r="AC311" s="28"/>
      <c r="AD311" s="28"/>
      <c r="AE311" s="54"/>
      <c r="AF311" s="54"/>
      <c r="AG311" s="54"/>
      <c r="AH311" s="53"/>
      <c r="AI311" s="53" t="s">
        <v>1591</v>
      </c>
      <c r="AJ311" s="53" t="s">
        <v>1591</v>
      </c>
    </row>
    <row r="312" spans="1:36" s="3" customFormat="1" ht="36" x14ac:dyDescent="0.25">
      <c r="A312" s="17" t="s">
        <v>1823</v>
      </c>
      <c r="B312" s="18" t="s">
        <v>2103</v>
      </c>
      <c r="C312" s="19" t="s">
        <v>2238</v>
      </c>
      <c r="D312" s="45" t="s">
        <v>2242</v>
      </c>
      <c r="E312" s="50" t="s">
        <v>2177</v>
      </c>
      <c r="F312" s="58" t="s">
        <v>2108</v>
      </c>
      <c r="G312" s="51">
        <v>56451920.479999997</v>
      </c>
      <c r="H312" s="51">
        <v>6905000</v>
      </c>
      <c r="I312" s="50" t="s">
        <v>335</v>
      </c>
      <c r="J312" s="58" t="s">
        <v>2243</v>
      </c>
      <c r="K312" s="52" t="s">
        <v>2244</v>
      </c>
      <c r="L312" s="59">
        <v>41668</v>
      </c>
      <c r="M312" s="60">
        <f t="shared" ref="M312:M321" si="11">L312+365</f>
        <v>42033</v>
      </c>
      <c r="N312" s="51">
        <v>29902283.399999999</v>
      </c>
      <c r="O312" s="59">
        <v>43128</v>
      </c>
      <c r="P312" s="59">
        <f>M312+1095</f>
        <v>43128</v>
      </c>
      <c r="Q312" s="51">
        <v>136264533.86000001</v>
      </c>
      <c r="R312" s="51">
        <f t="shared" ref="R312:R331" si="12">N312+Q312</f>
        <v>166166817.26000002</v>
      </c>
      <c r="S312" s="51" t="s">
        <v>200</v>
      </c>
      <c r="T312" s="52" t="s">
        <v>81</v>
      </c>
      <c r="U312" s="51">
        <v>59748485.159999996</v>
      </c>
      <c r="V312" s="51">
        <v>2027595.68</v>
      </c>
      <c r="W312" s="51">
        <v>5016935.6900000004</v>
      </c>
      <c r="X312" s="51">
        <v>55493486.859999999</v>
      </c>
      <c r="Y312" s="19" t="s">
        <v>3951</v>
      </c>
      <c r="Z312" s="19"/>
      <c r="AA312" s="28"/>
      <c r="AB312" s="56"/>
      <c r="AC312" s="28"/>
      <c r="AD312" s="28"/>
      <c r="AE312" s="54"/>
      <c r="AF312" s="54"/>
      <c r="AG312" s="54"/>
      <c r="AH312" s="53"/>
      <c r="AI312" s="53" t="s">
        <v>1591</v>
      </c>
      <c r="AJ312" s="53" t="s">
        <v>1591</v>
      </c>
    </row>
    <row r="313" spans="1:36" s="3" customFormat="1" ht="36" x14ac:dyDescent="0.25">
      <c r="A313" s="17" t="s">
        <v>1823</v>
      </c>
      <c r="B313" s="18" t="s">
        <v>2103</v>
      </c>
      <c r="C313" s="19" t="s">
        <v>2238</v>
      </c>
      <c r="D313" s="45" t="s">
        <v>2239</v>
      </c>
      <c r="E313" s="50" t="s">
        <v>2177</v>
      </c>
      <c r="F313" s="58" t="s">
        <v>2108</v>
      </c>
      <c r="G313" s="51">
        <v>56451920.479999997</v>
      </c>
      <c r="H313" s="51">
        <v>6905000</v>
      </c>
      <c r="I313" s="50" t="s">
        <v>1422</v>
      </c>
      <c r="J313" s="58" t="s">
        <v>2240</v>
      </c>
      <c r="K313" s="52" t="s">
        <v>2241</v>
      </c>
      <c r="L313" s="59">
        <v>41680</v>
      </c>
      <c r="M313" s="60">
        <f t="shared" si="11"/>
        <v>42045</v>
      </c>
      <c r="N313" s="51">
        <v>29905505.68</v>
      </c>
      <c r="O313" s="59">
        <v>43140</v>
      </c>
      <c r="P313" s="59">
        <f>M313+1095</f>
        <v>43140</v>
      </c>
      <c r="Q313" s="51">
        <v>118265475.53</v>
      </c>
      <c r="R313" s="51">
        <f t="shared" si="12"/>
        <v>148170981.21000001</v>
      </c>
      <c r="S313" s="51" t="s">
        <v>200</v>
      </c>
      <c r="T313" s="52" t="s">
        <v>81</v>
      </c>
      <c r="U313" s="51">
        <v>58196522.770000003</v>
      </c>
      <c r="V313" s="51">
        <v>1695316.45</v>
      </c>
      <c r="W313" s="51">
        <v>4554379.34</v>
      </c>
      <c r="X313" s="51">
        <v>54895918.520000003</v>
      </c>
      <c r="Y313" s="19" t="s">
        <v>3951</v>
      </c>
      <c r="Z313" s="19"/>
      <c r="AA313" s="28"/>
      <c r="AB313" s="56"/>
      <c r="AC313" s="28"/>
      <c r="AD313" s="28"/>
      <c r="AE313" s="54"/>
      <c r="AF313" s="54"/>
      <c r="AG313" s="54"/>
      <c r="AH313" s="53"/>
      <c r="AI313" s="53" t="s">
        <v>1591</v>
      </c>
      <c r="AJ313" s="53" t="s">
        <v>1591</v>
      </c>
    </row>
    <row r="314" spans="1:36" s="3" customFormat="1" ht="36" x14ac:dyDescent="0.25">
      <c r="A314" s="17" t="s">
        <v>1823</v>
      </c>
      <c r="B314" s="18" t="s">
        <v>2103</v>
      </c>
      <c r="C314" s="19" t="s">
        <v>2238</v>
      </c>
      <c r="D314" s="45" t="s">
        <v>2245</v>
      </c>
      <c r="E314" s="50" t="s">
        <v>2177</v>
      </c>
      <c r="F314" s="58" t="s">
        <v>2108</v>
      </c>
      <c r="G314" s="51">
        <v>56451920.479999997</v>
      </c>
      <c r="H314" s="51">
        <v>6905000</v>
      </c>
      <c r="I314" s="50" t="s">
        <v>818</v>
      </c>
      <c r="J314" s="58" t="s">
        <v>2246</v>
      </c>
      <c r="K314" s="52" t="s">
        <v>2247</v>
      </c>
      <c r="L314" s="59">
        <v>41668</v>
      </c>
      <c r="M314" s="60">
        <f t="shared" si="11"/>
        <v>42033</v>
      </c>
      <c r="N314" s="51">
        <v>16796191.25</v>
      </c>
      <c r="O314" s="59">
        <v>43128</v>
      </c>
      <c r="P314" s="59">
        <f>M314+1095</f>
        <v>43128</v>
      </c>
      <c r="Q314" s="51">
        <v>70848102.760000005</v>
      </c>
      <c r="R314" s="51">
        <f t="shared" si="12"/>
        <v>87644294.010000005</v>
      </c>
      <c r="S314" s="51" t="s">
        <v>200</v>
      </c>
      <c r="T314" s="52" t="s">
        <v>81</v>
      </c>
      <c r="U314" s="51">
        <v>25661571.710000001</v>
      </c>
      <c r="V314" s="51">
        <v>709252.7</v>
      </c>
      <c r="W314" s="51">
        <v>1361733.02</v>
      </c>
      <c r="X314" s="51">
        <v>23245603.109999999</v>
      </c>
      <c r="Y314" s="19" t="s">
        <v>3951</v>
      </c>
      <c r="Z314" s="19"/>
      <c r="AA314" s="28"/>
      <c r="AB314" s="56"/>
      <c r="AC314" s="28"/>
      <c r="AD314" s="28"/>
      <c r="AE314" s="54"/>
      <c r="AF314" s="54"/>
      <c r="AG314" s="54"/>
      <c r="AH314" s="53"/>
      <c r="AI314" s="53" t="s">
        <v>1591</v>
      </c>
      <c r="AJ314" s="53" t="s">
        <v>1591</v>
      </c>
    </row>
    <row r="315" spans="1:36" s="3" customFormat="1" ht="36" x14ac:dyDescent="0.25">
      <c r="A315" s="17" t="s">
        <v>1823</v>
      </c>
      <c r="B315" s="18" t="s">
        <v>2103</v>
      </c>
      <c r="C315" s="19" t="s">
        <v>2226</v>
      </c>
      <c r="D315" s="45" t="s">
        <v>2227</v>
      </c>
      <c r="E315" s="50" t="s">
        <v>2177</v>
      </c>
      <c r="F315" s="58" t="s">
        <v>2108</v>
      </c>
      <c r="G315" s="51">
        <v>56451920.479999997</v>
      </c>
      <c r="H315" s="51">
        <v>6905000</v>
      </c>
      <c r="I315" s="50" t="s">
        <v>2098</v>
      </c>
      <c r="J315" s="58" t="s">
        <v>2109</v>
      </c>
      <c r="K315" s="52" t="s">
        <v>2228</v>
      </c>
      <c r="L315" s="59">
        <v>41572</v>
      </c>
      <c r="M315" s="60">
        <f t="shared" si="11"/>
        <v>41937</v>
      </c>
      <c r="N315" s="51">
        <v>14349995.939999999</v>
      </c>
      <c r="O315" s="59">
        <v>43397</v>
      </c>
      <c r="P315" s="59">
        <f>M315+1460</f>
        <v>43397</v>
      </c>
      <c r="Q315" s="51">
        <f>66675671.39-N315</f>
        <v>52325675.450000003</v>
      </c>
      <c r="R315" s="51">
        <f t="shared" si="12"/>
        <v>66675671.390000001</v>
      </c>
      <c r="S315" s="51" t="s">
        <v>200</v>
      </c>
      <c r="T315" s="52" t="s">
        <v>81</v>
      </c>
      <c r="U315" s="51">
        <v>14115530.67</v>
      </c>
      <c r="V315" s="51">
        <v>254287.59</v>
      </c>
      <c r="W315" s="51">
        <v>679618.05</v>
      </c>
      <c r="X315" s="51">
        <v>14016283.57</v>
      </c>
      <c r="Y315" s="19" t="s">
        <v>3951</v>
      </c>
      <c r="Z315" s="19"/>
      <c r="AA315" s="28"/>
      <c r="AB315" s="56"/>
      <c r="AC315" s="28"/>
      <c r="AD315" s="28"/>
      <c r="AE315" s="54"/>
      <c r="AF315" s="54"/>
      <c r="AG315" s="54"/>
      <c r="AH315" s="53"/>
      <c r="AI315" s="53" t="s">
        <v>1591</v>
      </c>
      <c r="AJ315" s="53" t="s">
        <v>1591</v>
      </c>
    </row>
    <row r="316" spans="1:36" s="3" customFormat="1" ht="24" x14ac:dyDescent="0.25">
      <c r="A316" s="17" t="s">
        <v>1823</v>
      </c>
      <c r="B316" s="18" t="s">
        <v>2103</v>
      </c>
      <c r="C316" s="19" t="s">
        <v>2238</v>
      </c>
      <c r="D316" s="45" t="s">
        <v>2248</v>
      </c>
      <c r="E316" s="50" t="s">
        <v>2177</v>
      </c>
      <c r="F316" s="58" t="s">
        <v>2108</v>
      </c>
      <c r="G316" s="51">
        <v>56451920.479999997</v>
      </c>
      <c r="H316" s="51">
        <v>6905000</v>
      </c>
      <c r="I316" s="50" t="s">
        <v>1577</v>
      </c>
      <c r="J316" s="58" t="s">
        <v>2249</v>
      </c>
      <c r="K316" s="52" t="s">
        <v>2250</v>
      </c>
      <c r="L316" s="59">
        <v>41668</v>
      </c>
      <c r="M316" s="60">
        <f t="shared" si="11"/>
        <v>42033</v>
      </c>
      <c r="N316" s="51">
        <v>11064262.91</v>
      </c>
      <c r="O316" s="59">
        <v>43128</v>
      </c>
      <c r="P316" s="59">
        <f>M316+1095</f>
        <v>43128</v>
      </c>
      <c r="Q316" s="51">
        <v>46899898.649999999</v>
      </c>
      <c r="R316" s="51">
        <f t="shared" si="12"/>
        <v>57964161.560000002</v>
      </c>
      <c r="S316" s="51">
        <v>503176.1</v>
      </c>
      <c r="T316" s="52" t="s">
        <v>81</v>
      </c>
      <c r="U316" s="51">
        <v>24589675.260000002</v>
      </c>
      <c r="V316" s="51">
        <v>875635.12</v>
      </c>
      <c r="W316" s="51">
        <v>2691256.81</v>
      </c>
      <c r="X316" s="51">
        <v>23116262.329999998</v>
      </c>
      <c r="Y316" s="19" t="s">
        <v>3951</v>
      </c>
      <c r="Z316" s="19"/>
      <c r="AA316" s="28"/>
      <c r="AB316" s="56"/>
      <c r="AC316" s="28"/>
      <c r="AD316" s="28"/>
      <c r="AE316" s="54"/>
      <c r="AF316" s="54"/>
      <c r="AG316" s="54"/>
      <c r="AH316" s="53"/>
      <c r="AI316" s="53" t="s">
        <v>1591</v>
      </c>
      <c r="AJ316" s="53" t="s">
        <v>1591</v>
      </c>
    </row>
    <row r="317" spans="1:36" s="3" customFormat="1" ht="48" x14ac:dyDescent="0.25">
      <c r="A317" s="17" t="s">
        <v>1823</v>
      </c>
      <c r="B317" s="18" t="s">
        <v>2103</v>
      </c>
      <c r="C317" s="19" t="s">
        <v>2214</v>
      </c>
      <c r="D317" s="45" t="s">
        <v>2224</v>
      </c>
      <c r="E317" s="50" t="s">
        <v>1074</v>
      </c>
      <c r="F317" s="58" t="s">
        <v>1074</v>
      </c>
      <c r="G317" s="51" t="s">
        <v>200</v>
      </c>
      <c r="H317" s="51" t="s">
        <v>200</v>
      </c>
      <c r="I317" s="50" t="s">
        <v>2098</v>
      </c>
      <c r="J317" s="58" t="s">
        <v>2109</v>
      </c>
      <c r="K317" s="52" t="s">
        <v>2225</v>
      </c>
      <c r="L317" s="59">
        <v>41730</v>
      </c>
      <c r="M317" s="60">
        <f t="shared" si="11"/>
        <v>42095</v>
      </c>
      <c r="N317" s="51">
        <v>7589976.21</v>
      </c>
      <c r="O317" s="59">
        <v>43190</v>
      </c>
      <c r="P317" s="59">
        <f>M317+1095</f>
        <v>43190</v>
      </c>
      <c r="Q317" s="51">
        <v>29508935.41</v>
      </c>
      <c r="R317" s="51">
        <f t="shared" si="12"/>
        <v>37098911.619999997</v>
      </c>
      <c r="S317" s="51" t="s">
        <v>200</v>
      </c>
      <c r="T317" s="52" t="s">
        <v>81</v>
      </c>
      <c r="U317" s="51">
        <v>12145964.359999999</v>
      </c>
      <c r="V317" s="51">
        <v>201867.19</v>
      </c>
      <c r="W317" s="51">
        <v>2114635.2200000002</v>
      </c>
      <c r="X317" s="51">
        <v>12145964.359999999</v>
      </c>
      <c r="Y317" s="19" t="s">
        <v>3951</v>
      </c>
      <c r="Z317" s="19"/>
      <c r="AA317" s="28"/>
      <c r="AB317" s="56"/>
      <c r="AC317" s="28"/>
      <c r="AD317" s="28"/>
      <c r="AE317" s="54"/>
      <c r="AF317" s="54"/>
      <c r="AG317" s="54"/>
      <c r="AH317" s="53"/>
      <c r="AI317" s="53" t="s">
        <v>1591</v>
      </c>
      <c r="AJ317" s="53" t="s">
        <v>1591</v>
      </c>
    </row>
    <row r="318" spans="1:36" s="3" customFormat="1" ht="48" x14ac:dyDescent="0.25">
      <c r="A318" s="17" t="s">
        <v>1823</v>
      </c>
      <c r="B318" s="18" t="s">
        <v>2103</v>
      </c>
      <c r="C318" s="19" t="s">
        <v>2125</v>
      </c>
      <c r="D318" s="45" t="s">
        <v>2147</v>
      </c>
      <c r="E318" s="50" t="s">
        <v>571</v>
      </c>
      <c r="F318" s="58" t="s">
        <v>2108</v>
      </c>
      <c r="G318" s="51">
        <v>30356902.07</v>
      </c>
      <c r="H318" s="51">
        <v>3400000</v>
      </c>
      <c r="I318" s="50" t="s">
        <v>2148</v>
      </c>
      <c r="J318" s="58" t="s">
        <v>2149</v>
      </c>
      <c r="K318" s="52" t="s">
        <v>2150</v>
      </c>
      <c r="L318" s="59">
        <v>42171</v>
      </c>
      <c r="M318" s="60">
        <f t="shared" si="11"/>
        <v>42536</v>
      </c>
      <c r="N318" s="51">
        <v>9998997.9800000004</v>
      </c>
      <c r="O318" s="59">
        <v>43266</v>
      </c>
      <c r="P318" s="59">
        <f>M318+730</f>
        <v>43266</v>
      </c>
      <c r="Q318" s="51">
        <v>27021792.48</v>
      </c>
      <c r="R318" s="51">
        <f t="shared" si="12"/>
        <v>37020790.460000001</v>
      </c>
      <c r="S318" s="51" t="s">
        <v>200</v>
      </c>
      <c r="T318" s="52" t="s">
        <v>81</v>
      </c>
      <c r="U318" s="51">
        <v>12818893.1</v>
      </c>
      <c r="V318" s="51">
        <v>1148913.8700000001</v>
      </c>
      <c r="W318" s="51">
        <v>4471629.4800000004</v>
      </c>
      <c r="X318" s="51">
        <v>12530315.85</v>
      </c>
      <c r="Y318" s="19" t="s">
        <v>3951</v>
      </c>
      <c r="Z318" s="19"/>
      <c r="AA318" s="28"/>
      <c r="AB318" s="56"/>
      <c r="AC318" s="28"/>
      <c r="AD318" s="28"/>
      <c r="AE318" s="54"/>
      <c r="AF318" s="54"/>
      <c r="AG318" s="54"/>
      <c r="AH318" s="53"/>
      <c r="AI318" s="53" t="s">
        <v>1591</v>
      </c>
      <c r="AJ318" s="53" t="s">
        <v>1591</v>
      </c>
    </row>
    <row r="319" spans="1:36" s="3" customFormat="1" ht="48" x14ac:dyDescent="0.25">
      <c r="A319" s="17" t="s">
        <v>1823</v>
      </c>
      <c r="B319" s="18" t="s">
        <v>2103</v>
      </c>
      <c r="C319" s="19" t="s">
        <v>2125</v>
      </c>
      <c r="D319" s="45" t="s">
        <v>2140</v>
      </c>
      <c r="E319" s="50" t="s">
        <v>571</v>
      </c>
      <c r="F319" s="58" t="s">
        <v>2108</v>
      </c>
      <c r="G319" s="51">
        <v>30356902.07</v>
      </c>
      <c r="H319" s="51">
        <v>3400000</v>
      </c>
      <c r="I319" s="50" t="s">
        <v>2141</v>
      </c>
      <c r="J319" s="58" t="s">
        <v>2142</v>
      </c>
      <c r="K319" s="52" t="s">
        <v>2143</v>
      </c>
      <c r="L319" s="59">
        <v>42170</v>
      </c>
      <c r="M319" s="60">
        <f t="shared" si="11"/>
        <v>42535</v>
      </c>
      <c r="N319" s="51">
        <v>8084999.9699999997</v>
      </c>
      <c r="O319" s="59">
        <v>43265</v>
      </c>
      <c r="P319" s="59">
        <f>M319+730</f>
        <v>43265</v>
      </c>
      <c r="Q319" s="51">
        <v>18677609.57</v>
      </c>
      <c r="R319" s="51">
        <f t="shared" si="12"/>
        <v>26762609.539999999</v>
      </c>
      <c r="S319" s="51" t="s">
        <v>200</v>
      </c>
      <c r="T319" s="52" t="s">
        <v>81</v>
      </c>
      <c r="U319" s="51">
        <v>8556581.0500000007</v>
      </c>
      <c r="V319" s="51">
        <v>924366.8</v>
      </c>
      <c r="W319" s="51">
        <v>2780272.48</v>
      </c>
      <c r="X319" s="51">
        <v>7760429.2699999996</v>
      </c>
      <c r="Y319" s="19" t="s">
        <v>3951</v>
      </c>
      <c r="Z319" s="19"/>
      <c r="AA319" s="28"/>
      <c r="AB319" s="56"/>
      <c r="AC319" s="28"/>
      <c r="AD319" s="28"/>
      <c r="AE319" s="54"/>
      <c r="AF319" s="54"/>
      <c r="AG319" s="54"/>
      <c r="AH319" s="53"/>
      <c r="AI319" s="53" t="s">
        <v>1591</v>
      </c>
      <c r="AJ319" s="53" t="s">
        <v>1591</v>
      </c>
    </row>
    <row r="320" spans="1:36" s="3" customFormat="1" ht="48" x14ac:dyDescent="0.25">
      <c r="A320" s="17" t="s">
        <v>1823</v>
      </c>
      <c r="B320" s="18" t="s">
        <v>2103</v>
      </c>
      <c r="C320" s="19" t="s">
        <v>2125</v>
      </c>
      <c r="D320" s="45" t="s">
        <v>2126</v>
      </c>
      <c r="E320" s="50" t="s">
        <v>571</v>
      </c>
      <c r="F320" s="58" t="s">
        <v>2108</v>
      </c>
      <c r="G320" s="51">
        <v>30356902.07</v>
      </c>
      <c r="H320" s="51">
        <v>3400000</v>
      </c>
      <c r="I320" s="50" t="s">
        <v>2127</v>
      </c>
      <c r="J320" s="58" t="s">
        <v>2128</v>
      </c>
      <c r="K320" s="52" t="s">
        <v>2129</v>
      </c>
      <c r="L320" s="59">
        <v>42167</v>
      </c>
      <c r="M320" s="60">
        <f t="shared" si="11"/>
        <v>42532</v>
      </c>
      <c r="N320" s="51">
        <v>7730000</v>
      </c>
      <c r="O320" s="59">
        <v>43262</v>
      </c>
      <c r="P320" s="59">
        <f>M320+730</f>
        <v>43262</v>
      </c>
      <c r="Q320" s="51">
        <v>18923222.699999999</v>
      </c>
      <c r="R320" s="51">
        <f t="shared" si="12"/>
        <v>26653222.699999999</v>
      </c>
      <c r="S320" s="51" t="s">
        <v>200</v>
      </c>
      <c r="T320" s="52" t="s">
        <v>81</v>
      </c>
      <c r="U320" s="51">
        <v>5966917.2800000003</v>
      </c>
      <c r="V320" s="51">
        <v>582792.78</v>
      </c>
      <c r="W320" s="51">
        <v>2179105.52</v>
      </c>
      <c r="X320" s="51">
        <v>5887612.4900000002</v>
      </c>
      <c r="Y320" s="19" t="s">
        <v>3951</v>
      </c>
      <c r="Z320" s="19"/>
      <c r="AA320" s="28"/>
      <c r="AB320" s="56"/>
      <c r="AC320" s="28"/>
      <c r="AD320" s="28"/>
      <c r="AE320" s="54"/>
      <c r="AF320" s="54"/>
      <c r="AG320" s="54"/>
      <c r="AH320" s="53"/>
      <c r="AI320" s="53" t="s">
        <v>1591</v>
      </c>
      <c r="AJ320" s="53" t="s">
        <v>1591</v>
      </c>
    </row>
    <row r="321" spans="1:36" s="3" customFormat="1" ht="48" x14ac:dyDescent="0.25">
      <c r="A321" s="17" t="s">
        <v>1823</v>
      </c>
      <c r="B321" s="18" t="s">
        <v>2103</v>
      </c>
      <c r="C321" s="19" t="s">
        <v>2214</v>
      </c>
      <c r="D321" s="45" t="s">
        <v>2215</v>
      </c>
      <c r="E321" s="50" t="s">
        <v>1074</v>
      </c>
      <c r="F321" s="58" t="s">
        <v>1074</v>
      </c>
      <c r="G321" s="51" t="s">
        <v>200</v>
      </c>
      <c r="H321" s="51" t="s">
        <v>200</v>
      </c>
      <c r="I321" s="50" t="s">
        <v>2159</v>
      </c>
      <c r="J321" s="58" t="s">
        <v>2160</v>
      </c>
      <c r="K321" s="52" t="s">
        <v>2216</v>
      </c>
      <c r="L321" s="59">
        <v>41730</v>
      </c>
      <c r="M321" s="60">
        <f t="shared" si="11"/>
        <v>42095</v>
      </c>
      <c r="N321" s="51">
        <v>5259999.72</v>
      </c>
      <c r="O321" s="59">
        <v>43190</v>
      </c>
      <c r="P321" s="59">
        <f>M321+1095</f>
        <v>43190</v>
      </c>
      <c r="Q321" s="51">
        <v>20601863.140000001</v>
      </c>
      <c r="R321" s="51">
        <f t="shared" si="12"/>
        <v>25861862.859999999</v>
      </c>
      <c r="S321" s="51">
        <v>202599.1</v>
      </c>
      <c r="T321" s="52" t="s">
        <v>81</v>
      </c>
      <c r="U321" s="51">
        <v>11106247.92</v>
      </c>
      <c r="V321" s="51">
        <v>48985.96</v>
      </c>
      <c r="W321" s="51">
        <v>1739446.11</v>
      </c>
      <c r="X321" s="51">
        <v>11106246.960000001</v>
      </c>
      <c r="Y321" s="19" t="s">
        <v>3951</v>
      </c>
      <c r="Z321" s="19"/>
      <c r="AA321" s="28"/>
      <c r="AB321" s="56"/>
      <c r="AC321" s="28"/>
      <c r="AD321" s="28"/>
      <c r="AE321" s="54"/>
      <c r="AF321" s="54"/>
      <c r="AG321" s="54"/>
      <c r="AH321" s="53"/>
      <c r="AI321" s="53" t="s">
        <v>1591</v>
      </c>
      <c r="AJ321" s="53" t="s">
        <v>1591</v>
      </c>
    </row>
    <row r="322" spans="1:36" s="3" customFormat="1" ht="36" x14ac:dyDescent="0.25">
      <c r="A322" s="17" t="s">
        <v>1823</v>
      </c>
      <c r="B322" s="18" t="s">
        <v>2103</v>
      </c>
      <c r="C322" s="19" t="s">
        <v>2122</v>
      </c>
      <c r="D322" s="45" t="s">
        <v>2123</v>
      </c>
      <c r="E322" s="50" t="s">
        <v>1074</v>
      </c>
      <c r="F322" s="58" t="s">
        <v>1074</v>
      </c>
      <c r="G322" s="51" t="s">
        <v>200</v>
      </c>
      <c r="H322" s="51" t="s">
        <v>200</v>
      </c>
      <c r="I322" s="50" t="s">
        <v>2098</v>
      </c>
      <c r="J322" s="58" t="s">
        <v>2109</v>
      </c>
      <c r="K322" s="52" t="s">
        <v>2124</v>
      </c>
      <c r="L322" s="59">
        <v>41675</v>
      </c>
      <c r="M322" s="60">
        <f t="shared" ref="M322:M329" si="13">L322+365</f>
        <v>42040</v>
      </c>
      <c r="N322" s="51">
        <v>5399896.0800000001</v>
      </c>
      <c r="O322" s="59">
        <v>43135</v>
      </c>
      <c r="P322" s="59">
        <f>M322+1095</f>
        <v>43135</v>
      </c>
      <c r="Q322" s="51">
        <v>19572018.210000001</v>
      </c>
      <c r="R322" s="51">
        <f t="shared" si="12"/>
        <v>24971914.289999999</v>
      </c>
      <c r="S322" s="51">
        <v>114814.2</v>
      </c>
      <c r="T322" s="52" t="s">
        <v>81</v>
      </c>
      <c r="U322" s="51">
        <v>9336380.9000000004</v>
      </c>
      <c r="V322" s="51">
        <v>315969.57</v>
      </c>
      <c r="W322" s="51">
        <v>1259244.54</v>
      </c>
      <c r="X322" s="51">
        <v>9231057.7100000009</v>
      </c>
      <c r="Y322" s="19" t="s">
        <v>3951</v>
      </c>
      <c r="Z322" s="19"/>
      <c r="AA322" s="28"/>
      <c r="AB322" s="56"/>
      <c r="AC322" s="28"/>
      <c r="AD322" s="28"/>
      <c r="AE322" s="54"/>
      <c r="AF322" s="54"/>
      <c r="AG322" s="54"/>
      <c r="AH322" s="53"/>
      <c r="AI322" s="53" t="s">
        <v>1591</v>
      </c>
      <c r="AJ322" s="53" t="s">
        <v>1591</v>
      </c>
    </row>
    <row r="323" spans="1:36" s="3" customFormat="1" ht="36" x14ac:dyDescent="0.25">
      <c r="A323" s="17" t="s">
        <v>1823</v>
      </c>
      <c r="B323" s="18" t="s">
        <v>2103</v>
      </c>
      <c r="C323" s="19" t="s">
        <v>2214</v>
      </c>
      <c r="D323" s="45" t="s">
        <v>2217</v>
      </c>
      <c r="E323" s="50" t="s">
        <v>1074</v>
      </c>
      <c r="F323" s="58" t="s">
        <v>1074</v>
      </c>
      <c r="G323" s="51" t="s">
        <v>200</v>
      </c>
      <c r="H323" s="51" t="s">
        <v>200</v>
      </c>
      <c r="I323" s="50" t="s">
        <v>1180</v>
      </c>
      <c r="J323" s="58" t="s">
        <v>2218</v>
      </c>
      <c r="K323" s="52" t="s">
        <v>2219</v>
      </c>
      <c r="L323" s="59">
        <v>41730</v>
      </c>
      <c r="M323" s="60">
        <f t="shared" si="13"/>
        <v>42095</v>
      </c>
      <c r="N323" s="51">
        <v>5058999.9800000004</v>
      </c>
      <c r="O323" s="59">
        <v>43190</v>
      </c>
      <c r="P323" s="59">
        <f>M323+1095</f>
        <v>43190</v>
      </c>
      <c r="Q323" s="51">
        <v>16747953.039999999</v>
      </c>
      <c r="R323" s="51">
        <f t="shared" si="12"/>
        <v>21806953.02</v>
      </c>
      <c r="S323" s="51" t="s">
        <v>200</v>
      </c>
      <c r="T323" s="52" t="s">
        <v>81</v>
      </c>
      <c r="U323" s="51">
        <v>6770859.5499999998</v>
      </c>
      <c r="V323" s="51" t="s">
        <v>200</v>
      </c>
      <c r="W323" s="51">
        <v>1382378.5</v>
      </c>
      <c r="X323" s="51">
        <v>6770859.8099999996</v>
      </c>
      <c r="Y323" s="19" t="s">
        <v>3951</v>
      </c>
      <c r="Z323" s="19"/>
      <c r="AA323" s="28"/>
      <c r="AB323" s="56"/>
      <c r="AC323" s="28"/>
      <c r="AD323" s="28"/>
      <c r="AE323" s="54"/>
      <c r="AF323" s="54"/>
      <c r="AG323" s="54"/>
      <c r="AH323" s="53"/>
      <c r="AI323" s="53" t="s">
        <v>1591</v>
      </c>
      <c r="AJ323" s="53" t="s">
        <v>1591</v>
      </c>
    </row>
    <row r="324" spans="1:36" s="3" customFormat="1" ht="36" x14ac:dyDescent="0.25">
      <c r="A324" s="17" t="s">
        <v>1823</v>
      </c>
      <c r="B324" s="18" t="s">
        <v>2103</v>
      </c>
      <c r="C324" s="19" t="s">
        <v>2122</v>
      </c>
      <c r="D324" s="45" t="s">
        <v>2136</v>
      </c>
      <c r="E324" s="50" t="s">
        <v>1074</v>
      </c>
      <c r="F324" s="58" t="s">
        <v>1074</v>
      </c>
      <c r="G324" s="51" t="s">
        <v>200</v>
      </c>
      <c r="H324" s="51" t="s">
        <v>200</v>
      </c>
      <c r="I324" s="50" t="s">
        <v>2137</v>
      </c>
      <c r="J324" s="58" t="s">
        <v>2138</v>
      </c>
      <c r="K324" s="52" t="s">
        <v>2139</v>
      </c>
      <c r="L324" s="59">
        <v>41708</v>
      </c>
      <c r="M324" s="60">
        <f t="shared" si="13"/>
        <v>42073</v>
      </c>
      <c r="N324" s="51">
        <v>4649999.4000000004</v>
      </c>
      <c r="O324" s="59">
        <v>43168</v>
      </c>
      <c r="P324" s="59">
        <f>M324+1095</f>
        <v>43168</v>
      </c>
      <c r="Q324" s="51">
        <v>16371581.42</v>
      </c>
      <c r="R324" s="51">
        <f t="shared" si="12"/>
        <v>21021580.82</v>
      </c>
      <c r="S324" s="51">
        <v>104853.88</v>
      </c>
      <c r="T324" s="52" t="s">
        <v>81</v>
      </c>
      <c r="U324" s="51">
        <v>9081766.8000000007</v>
      </c>
      <c r="V324" s="51">
        <v>350356.23</v>
      </c>
      <c r="W324" s="51">
        <v>1355330.36</v>
      </c>
      <c r="X324" s="51">
        <v>8964981.3699999992</v>
      </c>
      <c r="Y324" s="19" t="s">
        <v>3951</v>
      </c>
      <c r="Z324" s="19"/>
      <c r="AA324" s="28"/>
      <c r="AB324" s="56"/>
      <c r="AC324" s="28"/>
      <c r="AD324" s="28"/>
      <c r="AE324" s="54"/>
      <c r="AF324" s="54"/>
      <c r="AG324" s="54"/>
      <c r="AH324" s="53"/>
      <c r="AI324" s="53" t="s">
        <v>1591</v>
      </c>
      <c r="AJ324" s="53" t="s">
        <v>1591</v>
      </c>
    </row>
    <row r="325" spans="1:36" s="3" customFormat="1" ht="24" x14ac:dyDescent="0.25">
      <c r="A325" s="17" t="s">
        <v>1823</v>
      </c>
      <c r="B325" s="18" t="s">
        <v>2103</v>
      </c>
      <c r="C325" s="19" t="s">
        <v>673</v>
      </c>
      <c r="D325" s="45" t="s">
        <v>2220</v>
      </c>
      <c r="E325" s="50" t="s">
        <v>1074</v>
      </c>
      <c r="F325" s="58" t="s">
        <v>1074</v>
      </c>
      <c r="G325" s="51" t="s">
        <v>200</v>
      </c>
      <c r="H325" s="51" t="s">
        <v>200</v>
      </c>
      <c r="I325" s="50" t="s">
        <v>2221</v>
      </c>
      <c r="J325" s="58" t="s">
        <v>2222</v>
      </c>
      <c r="K325" s="52" t="s">
        <v>2223</v>
      </c>
      <c r="L325" s="59">
        <v>41548</v>
      </c>
      <c r="M325" s="60">
        <f t="shared" si="13"/>
        <v>41913</v>
      </c>
      <c r="N325" s="51">
        <v>4691743.12</v>
      </c>
      <c r="O325" s="59">
        <v>43387</v>
      </c>
      <c r="P325" s="59">
        <f>M325+1474</f>
        <v>43387</v>
      </c>
      <c r="Q325" s="51">
        <f>19401217.52-N325</f>
        <v>14709474.399999999</v>
      </c>
      <c r="R325" s="51">
        <f t="shared" si="12"/>
        <v>19401217.52</v>
      </c>
      <c r="S325" s="51" t="s">
        <v>200</v>
      </c>
      <c r="T325" s="52" t="s">
        <v>81</v>
      </c>
      <c r="U325" s="51">
        <v>8234195.7699999996</v>
      </c>
      <c r="V325" s="51" t="s">
        <v>200</v>
      </c>
      <c r="W325" s="51">
        <v>439454.1</v>
      </c>
      <c r="X325" s="51">
        <v>8234195.79</v>
      </c>
      <c r="Y325" s="19" t="s">
        <v>3951</v>
      </c>
      <c r="Z325" s="19"/>
      <c r="AA325" s="28"/>
      <c r="AB325" s="56"/>
      <c r="AC325" s="28"/>
      <c r="AD325" s="28"/>
      <c r="AE325" s="54"/>
      <c r="AF325" s="54"/>
      <c r="AG325" s="54"/>
      <c r="AH325" s="53"/>
      <c r="AI325" s="53" t="s">
        <v>1591</v>
      </c>
      <c r="AJ325" s="53" t="s">
        <v>1591</v>
      </c>
    </row>
    <row r="326" spans="1:36" s="3" customFormat="1" ht="36" x14ac:dyDescent="0.25">
      <c r="A326" s="17" t="s">
        <v>1823</v>
      </c>
      <c r="B326" s="18" t="s">
        <v>2103</v>
      </c>
      <c r="C326" s="19" t="s">
        <v>2203</v>
      </c>
      <c r="D326" s="45" t="s">
        <v>2204</v>
      </c>
      <c r="E326" s="50" t="s">
        <v>1074</v>
      </c>
      <c r="F326" s="58" t="s">
        <v>1074</v>
      </c>
      <c r="G326" s="51" t="s">
        <v>200</v>
      </c>
      <c r="H326" s="51" t="s">
        <v>200</v>
      </c>
      <c r="I326" s="50" t="s">
        <v>1524</v>
      </c>
      <c r="J326" s="58" t="s">
        <v>2207</v>
      </c>
      <c r="K326" s="52" t="s">
        <v>2208</v>
      </c>
      <c r="L326" s="59">
        <v>41705</v>
      </c>
      <c r="M326" s="60">
        <f t="shared" si="13"/>
        <v>42070</v>
      </c>
      <c r="N326" s="51">
        <v>7214999.7699999996</v>
      </c>
      <c r="O326" s="59">
        <v>42435</v>
      </c>
      <c r="P326" s="59">
        <f>M326+365</f>
        <v>42435</v>
      </c>
      <c r="Q326" s="51">
        <v>11461143.18</v>
      </c>
      <c r="R326" s="51">
        <f t="shared" si="12"/>
        <v>18676142.949999999</v>
      </c>
      <c r="S326" s="51" t="s">
        <v>200</v>
      </c>
      <c r="T326" s="52" t="s">
        <v>81</v>
      </c>
      <c r="U326" s="51">
        <v>6851712</v>
      </c>
      <c r="V326" s="51"/>
      <c r="W326" s="51"/>
      <c r="X326" s="51">
        <v>6851711.5</v>
      </c>
      <c r="Y326" s="19" t="s">
        <v>3950</v>
      </c>
      <c r="Z326" s="19"/>
      <c r="AA326" s="28"/>
      <c r="AB326" s="56"/>
      <c r="AC326" s="28"/>
      <c r="AD326" s="28"/>
      <c r="AE326" s="54"/>
      <c r="AF326" s="54"/>
      <c r="AG326" s="54"/>
      <c r="AH326" s="53"/>
      <c r="AI326" s="53" t="s">
        <v>1591</v>
      </c>
      <c r="AJ326" s="53" t="s">
        <v>1591</v>
      </c>
    </row>
    <row r="327" spans="1:36" s="3" customFormat="1" ht="36" x14ac:dyDescent="0.25">
      <c r="A327" s="17" t="s">
        <v>1823</v>
      </c>
      <c r="B327" s="18" t="s">
        <v>2103</v>
      </c>
      <c r="C327" s="19" t="s">
        <v>2203</v>
      </c>
      <c r="D327" s="45" t="s">
        <v>2204</v>
      </c>
      <c r="E327" s="50" t="s">
        <v>1074</v>
      </c>
      <c r="F327" s="58">
        <v>0</v>
      </c>
      <c r="G327" s="51" t="s">
        <v>200</v>
      </c>
      <c r="H327" s="51" t="s">
        <v>200</v>
      </c>
      <c r="I327" s="50" t="s">
        <v>2098</v>
      </c>
      <c r="J327" s="58" t="s">
        <v>2109</v>
      </c>
      <c r="K327" s="52" t="s">
        <v>2209</v>
      </c>
      <c r="L327" s="59">
        <v>41705</v>
      </c>
      <c r="M327" s="60">
        <f t="shared" si="13"/>
        <v>42070</v>
      </c>
      <c r="N327" s="51">
        <v>7069031.6699999999</v>
      </c>
      <c r="O327" s="59">
        <v>42435</v>
      </c>
      <c r="P327" s="59">
        <f>M327+365</f>
        <v>42435</v>
      </c>
      <c r="Q327" s="51">
        <v>10970478.550000001</v>
      </c>
      <c r="R327" s="51">
        <f t="shared" si="12"/>
        <v>18039510.219999999</v>
      </c>
      <c r="S327" s="51" t="s">
        <v>200</v>
      </c>
      <c r="T327" s="52" t="s">
        <v>81</v>
      </c>
      <c r="U327" s="51">
        <v>7912746.29</v>
      </c>
      <c r="V327" s="51" t="s">
        <v>200</v>
      </c>
      <c r="W327" s="51">
        <v>819407.35</v>
      </c>
      <c r="X327" s="51">
        <v>7912746.29</v>
      </c>
      <c r="Y327" s="19" t="s">
        <v>3950</v>
      </c>
      <c r="Z327" s="19"/>
      <c r="AA327" s="28"/>
      <c r="AB327" s="56"/>
      <c r="AC327" s="28"/>
      <c r="AD327" s="28"/>
      <c r="AE327" s="54"/>
      <c r="AF327" s="54"/>
      <c r="AG327" s="54"/>
      <c r="AH327" s="53"/>
      <c r="AI327" s="53" t="s">
        <v>1591</v>
      </c>
      <c r="AJ327" s="53" t="s">
        <v>1591</v>
      </c>
    </row>
    <row r="328" spans="1:36" s="3" customFormat="1" ht="36" x14ac:dyDescent="0.25">
      <c r="A328" s="17" t="s">
        <v>1823</v>
      </c>
      <c r="B328" s="18" t="s">
        <v>2103</v>
      </c>
      <c r="C328" s="19" t="s">
        <v>2199</v>
      </c>
      <c r="D328" s="45" t="s">
        <v>2200</v>
      </c>
      <c r="E328" s="50" t="s">
        <v>331</v>
      </c>
      <c r="F328" s="58" t="s">
        <v>2108</v>
      </c>
      <c r="G328" s="51">
        <v>12031838.26</v>
      </c>
      <c r="H328" s="51">
        <v>1333000</v>
      </c>
      <c r="I328" s="50" t="s">
        <v>2159</v>
      </c>
      <c r="J328" s="58" t="s">
        <v>2160</v>
      </c>
      <c r="K328" s="52" t="s">
        <v>2201</v>
      </c>
      <c r="L328" s="59">
        <v>41530</v>
      </c>
      <c r="M328" s="60">
        <f t="shared" si="13"/>
        <v>41895</v>
      </c>
      <c r="N328" s="51">
        <v>9520081.9399999995</v>
      </c>
      <c r="O328" s="59">
        <v>42980</v>
      </c>
      <c r="P328" s="59">
        <f>M328+1085</f>
        <v>42980</v>
      </c>
      <c r="Q328" s="51">
        <v>1919974.11</v>
      </c>
      <c r="R328" s="51">
        <f t="shared" si="12"/>
        <v>11440056.049999999</v>
      </c>
      <c r="S328" s="51">
        <v>428618.75</v>
      </c>
      <c r="T328" s="52" t="s">
        <v>2202</v>
      </c>
      <c r="U328" s="51">
        <v>11207213.42</v>
      </c>
      <c r="V328" s="51" t="s">
        <v>200</v>
      </c>
      <c r="W328" s="51">
        <v>1841478.61</v>
      </c>
      <c r="X328" s="51">
        <v>11207213.42</v>
      </c>
      <c r="Y328" s="19" t="s">
        <v>3952</v>
      </c>
      <c r="Z328" s="19"/>
      <c r="AA328" s="28"/>
      <c r="AB328" s="56"/>
      <c r="AC328" s="28"/>
      <c r="AD328" s="28"/>
      <c r="AE328" s="54"/>
      <c r="AF328" s="54"/>
      <c r="AG328" s="54"/>
      <c r="AH328" s="53"/>
      <c r="AI328" s="53" t="s">
        <v>1591</v>
      </c>
      <c r="AJ328" s="53" t="s">
        <v>1591</v>
      </c>
    </row>
    <row r="329" spans="1:36" s="3" customFormat="1" ht="36" x14ac:dyDescent="0.25">
      <c r="A329" s="17" t="s">
        <v>1823</v>
      </c>
      <c r="B329" s="18" t="s">
        <v>2103</v>
      </c>
      <c r="C329" s="19" t="s">
        <v>2194</v>
      </c>
      <c r="D329" s="45" t="s">
        <v>2195</v>
      </c>
      <c r="E329" s="50" t="s">
        <v>1074</v>
      </c>
      <c r="F329" s="58" t="s">
        <v>1074</v>
      </c>
      <c r="G329" s="51" t="s">
        <v>200</v>
      </c>
      <c r="H329" s="51" t="s">
        <v>200</v>
      </c>
      <c r="I329" s="50" t="s">
        <v>2196</v>
      </c>
      <c r="J329" s="58" t="s">
        <v>2197</v>
      </c>
      <c r="K329" s="52" t="s">
        <v>2198</v>
      </c>
      <c r="L329" s="59">
        <v>40592</v>
      </c>
      <c r="M329" s="60">
        <f t="shared" si="13"/>
        <v>40957</v>
      </c>
      <c r="N329" s="51">
        <v>1766617.82</v>
      </c>
      <c r="O329" s="59">
        <v>42508</v>
      </c>
      <c r="P329" s="59">
        <f>M329+1551</f>
        <v>42508</v>
      </c>
      <c r="Q329" s="51">
        <v>9178329.5299999993</v>
      </c>
      <c r="R329" s="51">
        <f t="shared" si="12"/>
        <v>10944947.35</v>
      </c>
      <c r="S329" s="51" t="s">
        <v>200</v>
      </c>
      <c r="T329" s="52" t="s">
        <v>81</v>
      </c>
      <c r="U329" s="51">
        <v>8871797.0999999996</v>
      </c>
      <c r="V329" s="51" t="s">
        <v>200</v>
      </c>
      <c r="W329" s="51"/>
      <c r="X329" s="51">
        <v>8871797.0999999996</v>
      </c>
      <c r="Y329" s="19" t="s">
        <v>3950</v>
      </c>
      <c r="Z329" s="19"/>
      <c r="AA329" s="28"/>
      <c r="AB329" s="56"/>
      <c r="AC329" s="28"/>
      <c r="AD329" s="28"/>
      <c r="AE329" s="54"/>
      <c r="AF329" s="54"/>
      <c r="AG329" s="54"/>
      <c r="AH329" s="53"/>
      <c r="AI329" s="53" t="s">
        <v>1591</v>
      </c>
      <c r="AJ329" s="53" t="s">
        <v>1591</v>
      </c>
    </row>
    <row r="330" spans="1:36" s="3" customFormat="1" ht="36" x14ac:dyDescent="0.25">
      <c r="A330" s="17" t="s">
        <v>1823</v>
      </c>
      <c r="B330" s="18" t="s">
        <v>2103</v>
      </c>
      <c r="C330" s="19" t="s">
        <v>2233</v>
      </c>
      <c r="D330" s="45" t="s">
        <v>2234</v>
      </c>
      <c r="E330" s="50" t="s">
        <v>331</v>
      </c>
      <c r="F330" s="58" t="s">
        <v>2108</v>
      </c>
      <c r="G330" s="51">
        <v>12031838.26</v>
      </c>
      <c r="H330" s="51">
        <v>1333000</v>
      </c>
      <c r="I330" s="50" t="s">
        <v>2098</v>
      </c>
      <c r="J330" s="58" t="s">
        <v>2109</v>
      </c>
      <c r="K330" s="52" t="s">
        <v>2235</v>
      </c>
      <c r="L330" s="59">
        <v>41662</v>
      </c>
      <c r="M330" s="60">
        <f>L330+730</f>
        <v>42392</v>
      </c>
      <c r="N330" s="51">
        <v>5761652.9900000002</v>
      </c>
      <c r="O330" s="59">
        <v>43332</v>
      </c>
      <c r="P330" s="59">
        <f>M330+940</f>
        <v>43332</v>
      </c>
      <c r="Q330" s="51">
        <v>3188828.63</v>
      </c>
      <c r="R330" s="51">
        <f t="shared" si="12"/>
        <v>8950481.620000001</v>
      </c>
      <c r="S330" s="51" t="s">
        <v>200</v>
      </c>
      <c r="T330" s="52" t="s">
        <v>81</v>
      </c>
      <c r="U330" s="51">
        <v>7261383.7699999996</v>
      </c>
      <c r="V330" s="51">
        <v>414337.75</v>
      </c>
      <c r="W330" s="51">
        <v>1320160</v>
      </c>
      <c r="X330" s="51">
        <v>7160493.8799999999</v>
      </c>
      <c r="Y330" s="19" t="s">
        <v>3951</v>
      </c>
      <c r="Z330" s="19"/>
      <c r="AA330" s="28"/>
      <c r="AB330" s="56"/>
      <c r="AC330" s="28"/>
      <c r="AD330" s="28"/>
      <c r="AE330" s="54"/>
      <c r="AF330" s="54"/>
      <c r="AG330" s="54"/>
      <c r="AH330" s="53"/>
      <c r="AI330" s="53" t="s">
        <v>1591</v>
      </c>
      <c r="AJ330" s="53" t="s">
        <v>1591</v>
      </c>
    </row>
    <row r="331" spans="1:36" s="3" customFormat="1" ht="48" x14ac:dyDescent="0.25">
      <c r="A331" s="17" t="s">
        <v>1823</v>
      </c>
      <c r="B331" s="18" t="s">
        <v>2103</v>
      </c>
      <c r="C331" s="19" t="s">
        <v>2175</v>
      </c>
      <c r="D331" s="45" t="s">
        <v>2185</v>
      </c>
      <c r="E331" s="50" t="s">
        <v>2177</v>
      </c>
      <c r="F331" s="58" t="s">
        <v>2108</v>
      </c>
      <c r="G331" s="51">
        <v>56451920.479999997</v>
      </c>
      <c r="H331" s="51">
        <v>6905000</v>
      </c>
      <c r="I331" s="50" t="s">
        <v>2127</v>
      </c>
      <c r="J331" s="58" t="s">
        <v>2128</v>
      </c>
      <c r="K331" s="52" t="s">
        <v>2186</v>
      </c>
      <c r="L331" s="59">
        <v>42233</v>
      </c>
      <c r="M331" s="60">
        <f>L331+365</f>
        <v>42598</v>
      </c>
      <c r="N331" s="51">
        <v>2782999.99</v>
      </c>
      <c r="O331" s="59">
        <v>43328</v>
      </c>
      <c r="P331" s="59">
        <f>M331+730</f>
        <v>43328</v>
      </c>
      <c r="Q331" s="51">
        <v>5845440.2300000004</v>
      </c>
      <c r="R331" s="51">
        <f t="shared" si="12"/>
        <v>8628440.2200000007</v>
      </c>
      <c r="S331" s="51" t="s">
        <v>200</v>
      </c>
      <c r="T331" s="52" t="s">
        <v>81</v>
      </c>
      <c r="U331" s="51">
        <v>1709531.17</v>
      </c>
      <c r="V331" s="51">
        <v>194900.55</v>
      </c>
      <c r="W331" s="51">
        <v>322640.92</v>
      </c>
      <c r="X331" s="51">
        <v>1703760.36</v>
      </c>
      <c r="Y331" s="19" t="s">
        <v>3951</v>
      </c>
      <c r="Z331" s="19"/>
      <c r="AA331" s="28"/>
      <c r="AB331" s="56"/>
      <c r="AC331" s="28"/>
      <c r="AD331" s="28"/>
      <c r="AE331" s="54"/>
      <c r="AF331" s="54"/>
      <c r="AG331" s="54"/>
      <c r="AH331" s="53"/>
      <c r="AI331" s="53" t="s">
        <v>1591</v>
      </c>
      <c r="AJ331" s="53" t="s">
        <v>1591</v>
      </c>
    </row>
    <row r="332" spans="1:36" s="3" customFormat="1" ht="24" x14ac:dyDescent="0.25">
      <c r="A332" s="17" t="s">
        <v>1823</v>
      </c>
      <c r="B332" s="18" t="s">
        <v>2103</v>
      </c>
      <c r="C332" s="19" t="s">
        <v>2203</v>
      </c>
      <c r="D332" s="45" t="s">
        <v>2204</v>
      </c>
      <c r="E332" s="50" t="s">
        <v>1074</v>
      </c>
      <c r="F332" s="58" t="s">
        <v>1074</v>
      </c>
      <c r="G332" s="51" t="s">
        <v>200</v>
      </c>
      <c r="H332" s="51" t="s">
        <v>200</v>
      </c>
      <c r="I332" s="50" t="s">
        <v>537</v>
      </c>
      <c r="J332" s="58" t="s">
        <v>2205</v>
      </c>
      <c r="K332" s="52" t="s">
        <v>2206</v>
      </c>
      <c r="L332" s="59">
        <v>41712</v>
      </c>
      <c r="M332" s="60">
        <f>L332+365</f>
        <v>42077</v>
      </c>
      <c r="N332" s="51">
        <v>6971777.54</v>
      </c>
      <c r="O332" s="59">
        <v>42077</v>
      </c>
      <c r="P332" s="59">
        <v>0</v>
      </c>
      <c r="Q332" s="51">
        <v>1592580.48</v>
      </c>
      <c r="R332" s="51">
        <f t="shared" ref="R332:R350" si="14">N332+Q332</f>
        <v>8564358.0199999996</v>
      </c>
      <c r="S332" s="51" t="s">
        <v>200</v>
      </c>
      <c r="T332" s="52" t="s">
        <v>81</v>
      </c>
      <c r="U332" s="51">
        <v>2723399.47</v>
      </c>
      <c r="V332" s="51"/>
      <c r="W332" s="51"/>
      <c r="X332" s="51">
        <v>2414870.98</v>
      </c>
      <c r="Y332" s="19" t="s">
        <v>3951</v>
      </c>
      <c r="Z332" s="19"/>
      <c r="AA332" s="28"/>
      <c r="AB332" s="56"/>
      <c r="AC332" s="28"/>
      <c r="AD332" s="28"/>
      <c r="AE332" s="54"/>
      <c r="AF332" s="54"/>
      <c r="AG332" s="54"/>
      <c r="AH332" s="53"/>
      <c r="AI332" s="53" t="s">
        <v>1591</v>
      </c>
      <c r="AJ332" s="53" t="s">
        <v>1591</v>
      </c>
    </row>
    <row r="333" spans="1:36" s="3" customFormat="1" ht="36" x14ac:dyDescent="0.25">
      <c r="A333" s="17" t="s">
        <v>1823</v>
      </c>
      <c r="B333" s="18" t="s">
        <v>2103</v>
      </c>
      <c r="C333" s="19" t="s">
        <v>2169</v>
      </c>
      <c r="D333" s="45" t="s">
        <v>2170</v>
      </c>
      <c r="E333" s="50" t="s">
        <v>2171</v>
      </c>
      <c r="F333" s="58" t="s">
        <v>2172</v>
      </c>
      <c r="G333" s="51">
        <v>5394428.75</v>
      </c>
      <c r="H333" s="51">
        <v>1414238.53</v>
      </c>
      <c r="I333" s="50" t="s">
        <v>1419</v>
      </c>
      <c r="J333" s="58" t="s">
        <v>2173</v>
      </c>
      <c r="K333" s="52" t="s">
        <v>2174</v>
      </c>
      <c r="L333" s="59">
        <v>41232</v>
      </c>
      <c r="M333" s="60">
        <f>L333+730</f>
        <v>41962</v>
      </c>
      <c r="N333" s="51">
        <v>5638906.4699999997</v>
      </c>
      <c r="O333" s="59">
        <v>42679</v>
      </c>
      <c r="P333" s="59">
        <f>M333+717</f>
        <v>42679</v>
      </c>
      <c r="Q333" s="51">
        <v>2872678.46</v>
      </c>
      <c r="R333" s="51">
        <f t="shared" si="14"/>
        <v>8511584.9299999997</v>
      </c>
      <c r="S333" s="51">
        <v>300831.14</v>
      </c>
      <c r="T333" s="52" t="s">
        <v>81</v>
      </c>
      <c r="U333" s="51">
        <v>7358976.3200000003</v>
      </c>
      <c r="V333" s="51"/>
      <c r="W333" s="51">
        <v>392186.65</v>
      </c>
      <c r="X333" s="51">
        <v>7080682.7599999998</v>
      </c>
      <c r="Y333" s="19" t="s">
        <v>3950</v>
      </c>
      <c r="Z333" s="19"/>
      <c r="AA333" s="28"/>
      <c r="AB333" s="56"/>
      <c r="AC333" s="28"/>
      <c r="AD333" s="28"/>
      <c r="AE333" s="54"/>
      <c r="AF333" s="54"/>
      <c r="AG333" s="54"/>
      <c r="AH333" s="53"/>
      <c r="AI333" s="53" t="s">
        <v>1591</v>
      </c>
      <c r="AJ333" s="53" t="s">
        <v>1591</v>
      </c>
    </row>
    <row r="334" spans="1:36" s="3" customFormat="1" ht="24" x14ac:dyDescent="0.25">
      <c r="A334" s="17" t="s">
        <v>1823</v>
      </c>
      <c r="B334" s="18" t="s">
        <v>2103</v>
      </c>
      <c r="C334" s="19" t="s">
        <v>2233</v>
      </c>
      <c r="D334" s="45" t="s">
        <v>2236</v>
      </c>
      <c r="E334" s="50" t="s">
        <v>331</v>
      </c>
      <c r="F334" s="58" t="s">
        <v>2108</v>
      </c>
      <c r="G334" s="51">
        <v>12031838.26</v>
      </c>
      <c r="H334" s="51">
        <v>1333000</v>
      </c>
      <c r="I334" s="50" t="s">
        <v>2159</v>
      </c>
      <c r="J334" s="58" t="s">
        <v>2160</v>
      </c>
      <c r="K334" s="52" t="s">
        <v>2237</v>
      </c>
      <c r="L334" s="59">
        <v>41662</v>
      </c>
      <c r="M334" s="60">
        <f>L334+730</f>
        <v>42392</v>
      </c>
      <c r="N334" s="51">
        <v>5748317.3499999996</v>
      </c>
      <c r="O334" s="59">
        <v>42757</v>
      </c>
      <c r="P334" s="59">
        <f>M334+365</f>
        <v>42757</v>
      </c>
      <c r="Q334" s="51">
        <v>2593557.77</v>
      </c>
      <c r="R334" s="51">
        <f t="shared" si="14"/>
        <v>8341875.1199999992</v>
      </c>
      <c r="S334" s="51">
        <v>430185.42</v>
      </c>
      <c r="T334" s="52" t="s">
        <v>81</v>
      </c>
      <c r="U334" s="51">
        <v>8501525.8100000005</v>
      </c>
      <c r="V334" s="51" t="s">
        <v>200</v>
      </c>
      <c r="W334" s="51">
        <v>430185.42</v>
      </c>
      <c r="X334" s="51">
        <v>8501525.8100000005</v>
      </c>
      <c r="Y334" s="19" t="s">
        <v>3950</v>
      </c>
      <c r="Z334" s="19"/>
      <c r="AA334" s="28"/>
      <c r="AB334" s="56"/>
      <c r="AC334" s="28"/>
      <c r="AD334" s="28"/>
      <c r="AE334" s="54"/>
      <c r="AF334" s="54"/>
      <c r="AG334" s="54"/>
      <c r="AH334" s="53"/>
      <c r="AI334" s="53" t="s">
        <v>1591</v>
      </c>
      <c r="AJ334" s="53" t="s">
        <v>1591</v>
      </c>
    </row>
    <row r="335" spans="1:36" s="3" customFormat="1" ht="36" x14ac:dyDescent="0.25">
      <c r="A335" s="17" t="s">
        <v>1823</v>
      </c>
      <c r="B335" s="18" t="s">
        <v>2103</v>
      </c>
      <c r="C335" s="19" t="s">
        <v>2182</v>
      </c>
      <c r="D335" s="45" t="s">
        <v>2187</v>
      </c>
      <c r="E335" s="50" t="s">
        <v>331</v>
      </c>
      <c r="F335" s="58" t="s">
        <v>2108</v>
      </c>
      <c r="G335" s="51">
        <v>12031838.26</v>
      </c>
      <c r="H335" s="51">
        <v>1333000</v>
      </c>
      <c r="I335" s="50" t="s">
        <v>2159</v>
      </c>
      <c r="J335" s="58" t="s">
        <v>2160</v>
      </c>
      <c r="K335" s="52" t="s">
        <v>2188</v>
      </c>
      <c r="L335" s="59">
        <v>41680</v>
      </c>
      <c r="M335" s="60">
        <f t="shared" ref="M335:M344" si="15">L335+365</f>
        <v>42045</v>
      </c>
      <c r="N335" s="51">
        <v>2489966.04</v>
      </c>
      <c r="O335" s="59">
        <v>43140</v>
      </c>
      <c r="P335" s="59">
        <f>M335+1095</f>
        <v>43140</v>
      </c>
      <c r="Q335" s="51">
        <f>7815508.33-N335</f>
        <v>5325542.29</v>
      </c>
      <c r="R335" s="51">
        <f t="shared" si="14"/>
        <v>7815508.3300000001</v>
      </c>
      <c r="S335" s="51">
        <v>23752.69</v>
      </c>
      <c r="T335" s="52" t="s">
        <v>81</v>
      </c>
      <c r="U335" s="51">
        <v>3626868.44</v>
      </c>
      <c r="V335" s="51">
        <v>809992.07</v>
      </c>
      <c r="W335" s="51">
        <v>1033337.98</v>
      </c>
      <c r="X335" s="51">
        <v>3626868.44</v>
      </c>
      <c r="Y335" s="19" t="s">
        <v>3951</v>
      </c>
      <c r="Z335" s="19"/>
      <c r="AA335" s="28"/>
      <c r="AB335" s="56"/>
      <c r="AC335" s="28"/>
      <c r="AD335" s="28"/>
      <c r="AE335" s="54"/>
      <c r="AF335" s="54"/>
      <c r="AG335" s="54"/>
      <c r="AH335" s="53"/>
      <c r="AI335" s="53" t="s">
        <v>1591</v>
      </c>
      <c r="AJ335" s="53" t="s">
        <v>1591</v>
      </c>
    </row>
    <row r="336" spans="1:36" s="3" customFormat="1" ht="48" x14ac:dyDescent="0.25">
      <c r="A336" s="17" t="s">
        <v>1823</v>
      </c>
      <c r="B336" s="18" t="s">
        <v>2103</v>
      </c>
      <c r="C336" s="19" t="s">
        <v>2175</v>
      </c>
      <c r="D336" s="45" t="s">
        <v>2189</v>
      </c>
      <c r="E336" s="50" t="s">
        <v>2177</v>
      </c>
      <c r="F336" s="58" t="s">
        <v>2108</v>
      </c>
      <c r="G336" s="51">
        <v>56451920.479999997</v>
      </c>
      <c r="H336" s="51">
        <v>6905000</v>
      </c>
      <c r="I336" s="50" t="s">
        <v>2190</v>
      </c>
      <c r="J336" s="58" t="s">
        <v>2191</v>
      </c>
      <c r="K336" s="52" t="s">
        <v>2192</v>
      </c>
      <c r="L336" s="59">
        <v>42256</v>
      </c>
      <c r="M336" s="60">
        <f t="shared" si="15"/>
        <v>42621</v>
      </c>
      <c r="N336" s="51">
        <v>2039999.88</v>
      </c>
      <c r="O336" s="59">
        <v>43351</v>
      </c>
      <c r="P336" s="59">
        <f>M336+730</f>
        <v>43351</v>
      </c>
      <c r="Q336" s="51">
        <v>5386433.7599999998</v>
      </c>
      <c r="R336" s="51">
        <f t="shared" si="14"/>
        <v>7426433.6399999997</v>
      </c>
      <c r="S336" s="51" t="s">
        <v>200</v>
      </c>
      <c r="T336" s="52" t="s">
        <v>81</v>
      </c>
      <c r="U336" s="51">
        <v>2046024.99</v>
      </c>
      <c r="V336" s="51">
        <v>268092.71999999997</v>
      </c>
      <c r="W336" s="51">
        <v>440071.92</v>
      </c>
      <c r="X336" s="51">
        <v>2008881.32</v>
      </c>
      <c r="Y336" s="19" t="s">
        <v>3951</v>
      </c>
      <c r="Z336" s="19"/>
      <c r="AA336" s="28"/>
      <c r="AB336" s="56"/>
      <c r="AC336" s="28"/>
      <c r="AD336" s="28"/>
      <c r="AE336" s="54"/>
      <c r="AF336" s="54"/>
      <c r="AG336" s="54"/>
      <c r="AH336" s="53"/>
      <c r="AI336" s="53" t="s">
        <v>1591</v>
      </c>
      <c r="AJ336" s="53" t="s">
        <v>1591</v>
      </c>
    </row>
    <row r="337" spans="1:36" s="3" customFormat="1" ht="24" x14ac:dyDescent="0.25">
      <c r="A337" s="17" t="s">
        <v>1823</v>
      </c>
      <c r="B337" s="18" t="s">
        <v>2103</v>
      </c>
      <c r="C337" s="19" t="s">
        <v>2133</v>
      </c>
      <c r="D337" s="45" t="s">
        <v>2134</v>
      </c>
      <c r="E337" s="50" t="s">
        <v>1074</v>
      </c>
      <c r="F337" s="58" t="s">
        <v>1074</v>
      </c>
      <c r="G337" s="51" t="s">
        <v>200</v>
      </c>
      <c r="H337" s="51" t="s">
        <v>200</v>
      </c>
      <c r="I337" s="50" t="s">
        <v>620</v>
      </c>
      <c r="J337" s="58" t="s">
        <v>2112</v>
      </c>
      <c r="K337" s="52" t="s">
        <v>2135</v>
      </c>
      <c r="L337" s="59">
        <v>41428</v>
      </c>
      <c r="M337" s="60">
        <f t="shared" si="15"/>
        <v>41793</v>
      </c>
      <c r="N337" s="51">
        <v>1839798.96</v>
      </c>
      <c r="O337" s="59">
        <v>43253</v>
      </c>
      <c r="P337" s="59">
        <f>M337+1460</f>
        <v>43253</v>
      </c>
      <c r="Q337" s="51">
        <v>4691772.55</v>
      </c>
      <c r="R337" s="51">
        <f t="shared" si="14"/>
        <v>6531571.5099999998</v>
      </c>
      <c r="S337" s="51" t="s">
        <v>200</v>
      </c>
      <c r="T337" s="52" t="s">
        <v>81</v>
      </c>
      <c r="U337" s="51">
        <v>3348810.69</v>
      </c>
      <c r="V337" s="51">
        <v>237843.16</v>
      </c>
      <c r="W337" s="51">
        <v>836135.84</v>
      </c>
      <c r="X337" s="51">
        <v>3282247.21</v>
      </c>
      <c r="Y337" s="19" t="s">
        <v>3951</v>
      </c>
      <c r="Z337" s="19"/>
      <c r="AA337" s="28"/>
      <c r="AB337" s="56"/>
      <c r="AC337" s="28"/>
      <c r="AD337" s="28"/>
      <c r="AE337" s="54"/>
      <c r="AF337" s="54"/>
      <c r="AG337" s="54"/>
      <c r="AH337" s="53"/>
      <c r="AI337" s="53" t="s">
        <v>1591</v>
      </c>
      <c r="AJ337" s="53" t="s">
        <v>1591</v>
      </c>
    </row>
    <row r="338" spans="1:36" s="3" customFormat="1" ht="24" x14ac:dyDescent="0.25">
      <c r="A338" s="17" t="s">
        <v>1823</v>
      </c>
      <c r="B338" s="18" t="s">
        <v>2103</v>
      </c>
      <c r="C338" s="19" t="s">
        <v>2154</v>
      </c>
      <c r="D338" s="45" t="s">
        <v>2155</v>
      </c>
      <c r="E338" s="50" t="s">
        <v>1074</v>
      </c>
      <c r="F338" s="58" t="s">
        <v>1074</v>
      </c>
      <c r="G338" s="51" t="s">
        <v>200</v>
      </c>
      <c r="H338" s="51" t="s">
        <v>200</v>
      </c>
      <c r="I338" s="50" t="s">
        <v>616</v>
      </c>
      <c r="J338" s="58" t="s">
        <v>2105</v>
      </c>
      <c r="K338" s="52" t="s">
        <v>2156</v>
      </c>
      <c r="L338" s="59">
        <v>41428</v>
      </c>
      <c r="M338" s="60">
        <f t="shared" si="15"/>
        <v>41793</v>
      </c>
      <c r="N338" s="51">
        <v>1115572.6000000001</v>
      </c>
      <c r="O338" s="59">
        <v>43253</v>
      </c>
      <c r="P338" s="59">
        <f>M338+1460</f>
        <v>43253</v>
      </c>
      <c r="Q338" s="51">
        <v>4991875.3600000003</v>
      </c>
      <c r="R338" s="51">
        <f t="shared" si="14"/>
        <v>6107447.9600000009</v>
      </c>
      <c r="S338" s="51" t="s">
        <v>200</v>
      </c>
      <c r="T338" s="52" t="s">
        <v>81</v>
      </c>
      <c r="U338" s="51">
        <v>3412353.65</v>
      </c>
      <c r="V338" s="51">
        <v>218351.25</v>
      </c>
      <c r="W338" s="51">
        <v>849218.4</v>
      </c>
      <c r="X338" s="51">
        <v>3339569.9</v>
      </c>
      <c r="Y338" s="19" t="s">
        <v>3951</v>
      </c>
      <c r="Z338" s="19"/>
      <c r="AA338" s="28"/>
      <c r="AB338" s="56"/>
      <c r="AC338" s="28"/>
      <c r="AD338" s="28"/>
      <c r="AE338" s="54"/>
      <c r="AF338" s="54"/>
      <c r="AG338" s="54"/>
      <c r="AH338" s="53"/>
      <c r="AI338" s="53" t="s">
        <v>1591</v>
      </c>
      <c r="AJ338" s="53" t="s">
        <v>1591</v>
      </c>
    </row>
    <row r="339" spans="1:36" s="3" customFormat="1" ht="24" x14ac:dyDescent="0.25">
      <c r="A339" s="17" t="s">
        <v>1823</v>
      </c>
      <c r="B339" s="18" t="s">
        <v>2103</v>
      </c>
      <c r="C339" s="19" t="s">
        <v>2114</v>
      </c>
      <c r="D339" s="45" t="s">
        <v>2115</v>
      </c>
      <c r="E339" s="50" t="s">
        <v>1074</v>
      </c>
      <c r="F339" s="58" t="s">
        <v>1074</v>
      </c>
      <c r="G339" s="51" t="s">
        <v>200</v>
      </c>
      <c r="H339" s="51" t="s">
        <v>200</v>
      </c>
      <c r="I339" s="50" t="s">
        <v>2116</v>
      </c>
      <c r="J339" s="58" t="s">
        <v>2117</v>
      </c>
      <c r="K339" s="52" t="s">
        <v>2118</v>
      </c>
      <c r="L339" s="59">
        <v>40299</v>
      </c>
      <c r="M339" s="60">
        <f t="shared" si="15"/>
        <v>40664</v>
      </c>
      <c r="N339" s="51">
        <v>2424819.12</v>
      </c>
      <c r="O339" s="59">
        <v>42305</v>
      </c>
      <c r="P339" s="59">
        <f>M339+1641</f>
        <v>42305</v>
      </c>
      <c r="Q339" s="51">
        <v>3238197.24</v>
      </c>
      <c r="R339" s="51">
        <f t="shared" si="14"/>
        <v>5663016.3600000003</v>
      </c>
      <c r="S339" s="51" t="s">
        <v>200</v>
      </c>
      <c r="T339" s="52" t="s">
        <v>81</v>
      </c>
      <c r="U339" s="51">
        <v>3731976.68</v>
      </c>
      <c r="V339" s="51"/>
      <c r="W339" s="51"/>
      <c r="X339" s="51">
        <v>3303701.9</v>
      </c>
      <c r="Y339" s="19" t="s">
        <v>3951</v>
      </c>
      <c r="Z339" s="19"/>
      <c r="AA339" s="28"/>
      <c r="AB339" s="56"/>
      <c r="AC339" s="28"/>
      <c r="AD339" s="28"/>
      <c r="AE339" s="54"/>
      <c r="AF339" s="54"/>
      <c r="AG339" s="54"/>
      <c r="AH339" s="53"/>
      <c r="AI339" s="53" t="s">
        <v>1591</v>
      </c>
      <c r="AJ339" s="53" t="s">
        <v>1591</v>
      </c>
    </row>
    <row r="340" spans="1:36" s="3" customFormat="1" ht="48" x14ac:dyDescent="0.25">
      <c r="A340" s="17" t="s">
        <v>1823</v>
      </c>
      <c r="B340" s="18" t="s">
        <v>2103</v>
      </c>
      <c r="C340" s="19" t="s">
        <v>2175</v>
      </c>
      <c r="D340" s="45" t="s">
        <v>2176</v>
      </c>
      <c r="E340" s="50" t="s">
        <v>2177</v>
      </c>
      <c r="F340" s="58" t="s">
        <v>2108</v>
      </c>
      <c r="G340" s="51">
        <v>56451920.479999997</v>
      </c>
      <c r="H340" s="51">
        <v>6905000</v>
      </c>
      <c r="I340" s="50" t="s">
        <v>2178</v>
      </c>
      <c r="J340" s="58" t="s">
        <v>2179</v>
      </c>
      <c r="K340" s="52" t="s">
        <v>2180</v>
      </c>
      <c r="L340" s="59">
        <v>42236</v>
      </c>
      <c r="M340" s="60">
        <f t="shared" si="15"/>
        <v>42601</v>
      </c>
      <c r="N340" s="51">
        <v>2143999.9900000002</v>
      </c>
      <c r="O340" s="59">
        <v>43331</v>
      </c>
      <c r="P340" s="59">
        <f>M340+730</f>
        <v>43331</v>
      </c>
      <c r="Q340" s="51">
        <f>5524435.13-N340</f>
        <v>3380435.1399999997</v>
      </c>
      <c r="R340" s="51">
        <f t="shared" si="14"/>
        <v>5524435.1299999999</v>
      </c>
      <c r="S340" s="51" t="s">
        <v>200</v>
      </c>
      <c r="T340" s="52" t="s">
        <v>81</v>
      </c>
      <c r="U340" s="51">
        <v>988761.27</v>
      </c>
      <c r="V340" s="51">
        <v>75540.55</v>
      </c>
      <c r="W340" s="51">
        <v>160351.66</v>
      </c>
      <c r="X340" s="51">
        <v>981983.4</v>
      </c>
      <c r="Y340" s="19" t="s">
        <v>3950</v>
      </c>
      <c r="Z340" s="19"/>
      <c r="AA340" s="28"/>
      <c r="AB340" s="56"/>
      <c r="AC340" s="28"/>
      <c r="AD340" s="28"/>
      <c r="AE340" s="54"/>
      <c r="AF340" s="54"/>
      <c r="AG340" s="54"/>
      <c r="AH340" s="53"/>
      <c r="AI340" s="53" t="s">
        <v>1591</v>
      </c>
      <c r="AJ340" s="53" t="s">
        <v>1591</v>
      </c>
    </row>
    <row r="341" spans="1:36" s="3" customFormat="1" ht="24" x14ac:dyDescent="0.25">
      <c r="A341" s="17" t="s">
        <v>1823</v>
      </c>
      <c r="B341" s="18" t="s">
        <v>2103</v>
      </c>
      <c r="C341" s="19" t="s">
        <v>2151</v>
      </c>
      <c r="D341" s="45" t="s">
        <v>2152</v>
      </c>
      <c r="E341" s="50" t="s">
        <v>1074</v>
      </c>
      <c r="F341" s="58" t="s">
        <v>1074</v>
      </c>
      <c r="G341" s="51" t="s">
        <v>200</v>
      </c>
      <c r="H341" s="51" t="s">
        <v>200</v>
      </c>
      <c r="I341" s="50" t="s">
        <v>616</v>
      </c>
      <c r="J341" s="58" t="s">
        <v>2105</v>
      </c>
      <c r="K341" s="52" t="s">
        <v>2153</v>
      </c>
      <c r="L341" s="59">
        <v>41428</v>
      </c>
      <c r="M341" s="60">
        <f t="shared" si="15"/>
        <v>41793</v>
      </c>
      <c r="N341" s="51">
        <v>956925.88</v>
      </c>
      <c r="O341" s="59">
        <v>43253</v>
      </c>
      <c r="P341" s="59">
        <f>M341+1460</f>
        <v>43253</v>
      </c>
      <c r="Q341" s="51">
        <v>4034492.58</v>
      </c>
      <c r="R341" s="51">
        <f t="shared" si="14"/>
        <v>4991418.46</v>
      </c>
      <c r="S341" s="51" t="s">
        <v>200</v>
      </c>
      <c r="T341" s="52" t="s">
        <v>81</v>
      </c>
      <c r="U341" s="51">
        <v>2722393.46</v>
      </c>
      <c r="V341" s="51">
        <v>169765.92</v>
      </c>
      <c r="W341" s="51">
        <v>660809.28</v>
      </c>
      <c r="X341" s="51">
        <v>2665804.8199999998</v>
      </c>
      <c r="Y341" s="19" t="s">
        <v>3951</v>
      </c>
      <c r="Z341" s="19"/>
      <c r="AA341" s="28"/>
      <c r="AB341" s="56"/>
      <c r="AC341" s="28"/>
      <c r="AD341" s="28"/>
      <c r="AE341" s="54"/>
      <c r="AF341" s="54"/>
      <c r="AG341" s="54"/>
      <c r="AH341" s="53"/>
      <c r="AI341" s="53" t="s">
        <v>1591</v>
      </c>
      <c r="AJ341" s="53" t="s">
        <v>1591</v>
      </c>
    </row>
    <row r="342" spans="1:36" s="3" customFormat="1" ht="24" x14ac:dyDescent="0.25">
      <c r="A342" s="17" t="s">
        <v>1823</v>
      </c>
      <c r="B342" s="18" t="s">
        <v>2103</v>
      </c>
      <c r="C342" s="19" t="s">
        <v>2110</v>
      </c>
      <c r="D342" s="45" t="s">
        <v>2111</v>
      </c>
      <c r="E342" s="50" t="s">
        <v>1074</v>
      </c>
      <c r="F342" s="58" t="s">
        <v>1074</v>
      </c>
      <c r="G342" s="51" t="s">
        <v>200</v>
      </c>
      <c r="H342" s="51" t="s">
        <v>200</v>
      </c>
      <c r="I342" s="50" t="s">
        <v>620</v>
      </c>
      <c r="J342" s="58" t="s">
        <v>2112</v>
      </c>
      <c r="K342" s="52" t="s">
        <v>2113</v>
      </c>
      <c r="L342" s="59">
        <v>41428</v>
      </c>
      <c r="M342" s="60">
        <f t="shared" si="15"/>
        <v>41793</v>
      </c>
      <c r="N342" s="51">
        <v>915930.44</v>
      </c>
      <c r="O342" s="59">
        <v>43253</v>
      </c>
      <c r="P342" s="59">
        <f>M342+1460</f>
        <v>43253</v>
      </c>
      <c r="Q342" s="51">
        <v>4072877.65</v>
      </c>
      <c r="R342" s="51">
        <f t="shared" si="14"/>
        <v>4988808.09</v>
      </c>
      <c r="S342" s="51" t="s">
        <v>200</v>
      </c>
      <c r="T342" s="52" t="s">
        <v>81</v>
      </c>
      <c r="U342" s="51">
        <v>2854682.93</v>
      </c>
      <c r="V342" s="51">
        <v>196666.31</v>
      </c>
      <c r="W342" s="51">
        <v>697208.83</v>
      </c>
      <c r="X342" s="51">
        <v>2798252.93</v>
      </c>
      <c r="Y342" s="19" t="s">
        <v>3951</v>
      </c>
      <c r="Z342" s="19"/>
      <c r="AA342" s="28"/>
      <c r="AB342" s="56"/>
      <c r="AC342" s="28"/>
      <c r="AD342" s="28"/>
      <c r="AE342" s="54"/>
      <c r="AF342" s="54"/>
      <c r="AG342" s="54"/>
      <c r="AH342" s="53"/>
      <c r="AI342" s="53" t="s">
        <v>1591</v>
      </c>
      <c r="AJ342" s="53" t="s">
        <v>1591</v>
      </c>
    </row>
    <row r="343" spans="1:36" s="3" customFormat="1" ht="24" x14ac:dyDescent="0.25">
      <c r="A343" s="17" t="s">
        <v>1823</v>
      </c>
      <c r="B343" s="18" t="s">
        <v>2103</v>
      </c>
      <c r="C343" s="19" t="s">
        <v>2144</v>
      </c>
      <c r="D343" s="45" t="s">
        <v>2145</v>
      </c>
      <c r="E343" s="50" t="s">
        <v>1074</v>
      </c>
      <c r="F343" s="58" t="s">
        <v>1074</v>
      </c>
      <c r="G343" s="51" t="s">
        <v>200</v>
      </c>
      <c r="H343" s="51" t="s">
        <v>200</v>
      </c>
      <c r="I343" s="50" t="s">
        <v>616</v>
      </c>
      <c r="J343" s="58" t="s">
        <v>2105</v>
      </c>
      <c r="K343" s="52" t="s">
        <v>2146</v>
      </c>
      <c r="L343" s="59">
        <v>41428</v>
      </c>
      <c r="M343" s="60">
        <f t="shared" si="15"/>
        <v>41793</v>
      </c>
      <c r="N343" s="51">
        <v>936978.4</v>
      </c>
      <c r="O343" s="59">
        <v>43253</v>
      </c>
      <c r="P343" s="59">
        <f>M343+1460</f>
        <v>43253</v>
      </c>
      <c r="Q343" s="51">
        <v>3948919.17</v>
      </c>
      <c r="R343" s="51">
        <f t="shared" si="14"/>
        <v>4885897.57</v>
      </c>
      <c r="S343" s="51" t="s">
        <v>200</v>
      </c>
      <c r="T343" s="52" t="s">
        <v>81</v>
      </c>
      <c r="U343" s="51">
        <v>2651301.2599999998</v>
      </c>
      <c r="V343" s="51">
        <v>165543.39000000001</v>
      </c>
      <c r="W343" s="51">
        <v>657894.86</v>
      </c>
      <c r="X343" s="51">
        <v>2596120.13</v>
      </c>
      <c r="Y343" s="19" t="s">
        <v>3951</v>
      </c>
      <c r="Z343" s="19"/>
      <c r="AA343" s="28"/>
      <c r="AB343" s="56"/>
      <c r="AC343" s="28"/>
      <c r="AD343" s="28"/>
      <c r="AE343" s="54"/>
      <c r="AF343" s="54"/>
      <c r="AG343" s="54"/>
      <c r="AH343" s="53"/>
      <c r="AI343" s="53" t="s">
        <v>1591</v>
      </c>
      <c r="AJ343" s="53" t="s">
        <v>1591</v>
      </c>
    </row>
    <row r="344" spans="1:36" s="3" customFormat="1" ht="24" x14ac:dyDescent="0.25">
      <c r="A344" s="17" t="s">
        <v>1823</v>
      </c>
      <c r="B344" s="18" t="s">
        <v>2103</v>
      </c>
      <c r="C344" s="19" t="s">
        <v>2119</v>
      </c>
      <c r="D344" s="45" t="s">
        <v>2120</v>
      </c>
      <c r="E344" s="50" t="s">
        <v>1074</v>
      </c>
      <c r="F344" s="58">
        <v>0</v>
      </c>
      <c r="G344" s="51" t="s">
        <v>200</v>
      </c>
      <c r="H344" s="51" t="s">
        <v>200</v>
      </c>
      <c r="I344" s="50" t="s">
        <v>620</v>
      </c>
      <c r="J344" s="58" t="s">
        <v>2112</v>
      </c>
      <c r="K344" s="52" t="s">
        <v>2121</v>
      </c>
      <c r="L344" s="59">
        <v>41354</v>
      </c>
      <c r="M344" s="60">
        <f t="shared" si="15"/>
        <v>41719</v>
      </c>
      <c r="N344" s="51">
        <v>1306829.6100000001</v>
      </c>
      <c r="O344" s="59">
        <v>43179</v>
      </c>
      <c r="P344" s="59">
        <f>M344+1460</f>
        <v>43179</v>
      </c>
      <c r="Q344" s="51">
        <v>3356375.68</v>
      </c>
      <c r="R344" s="51">
        <f t="shared" si="14"/>
        <v>4663205.29</v>
      </c>
      <c r="S344" s="51" t="s">
        <v>200</v>
      </c>
      <c r="T344" s="52" t="s">
        <v>81</v>
      </c>
      <c r="U344" s="51">
        <v>2331180.96</v>
      </c>
      <c r="V344" s="51">
        <v>152226.54</v>
      </c>
      <c r="W344" s="51">
        <v>522413.22</v>
      </c>
      <c r="X344" s="51">
        <v>2288188.71</v>
      </c>
      <c r="Y344" s="19" t="s">
        <v>3951</v>
      </c>
      <c r="Z344" s="19"/>
      <c r="AA344" s="28"/>
      <c r="AB344" s="56"/>
      <c r="AC344" s="28"/>
      <c r="AD344" s="28"/>
      <c r="AE344" s="54"/>
      <c r="AF344" s="54"/>
      <c r="AG344" s="54"/>
      <c r="AH344" s="53"/>
      <c r="AI344" s="53" t="s">
        <v>1591</v>
      </c>
      <c r="AJ344" s="53" t="s">
        <v>1591</v>
      </c>
    </row>
    <row r="345" spans="1:36" s="3" customFormat="1" ht="60" x14ac:dyDescent="0.25">
      <c r="A345" s="17" t="s">
        <v>1823</v>
      </c>
      <c r="B345" s="18" t="s">
        <v>2103</v>
      </c>
      <c r="C345" s="19" t="s">
        <v>3620</v>
      </c>
      <c r="D345" s="45" t="s">
        <v>3621</v>
      </c>
      <c r="E345" s="50" t="s">
        <v>1074</v>
      </c>
      <c r="F345" s="58" t="s">
        <v>1074</v>
      </c>
      <c r="G345" s="51" t="s">
        <v>200</v>
      </c>
      <c r="H345" s="51" t="s">
        <v>200</v>
      </c>
      <c r="I345" s="50" t="s">
        <v>1125</v>
      </c>
      <c r="J345" s="58" t="s">
        <v>1126</v>
      </c>
      <c r="K345" s="52" t="s">
        <v>3889</v>
      </c>
      <c r="L345" s="59">
        <v>42615</v>
      </c>
      <c r="M345" s="60">
        <f>L345+150</f>
        <v>42765</v>
      </c>
      <c r="N345" s="51">
        <v>3536033.73</v>
      </c>
      <c r="O345" s="59">
        <v>42926</v>
      </c>
      <c r="P345" s="59">
        <f>M345+161</f>
        <v>42926</v>
      </c>
      <c r="Q345" s="51">
        <v>768487.65</v>
      </c>
      <c r="R345" s="51">
        <f t="shared" si="14"/>
        <v>4304521.38</v>
      </c>
      <c r="S345" s="51" t="s">
        <v>200</v>
      </c>
      <c r="T345" s="52" t="s">
        <v>81</v>
      </c>
      <c r="U345" s="51">
        <v>4304519.92</v>
      </c>
      <c r="V345" s="51" t="s">
        <v>200</v>
      </c>
      <c r="W345" s="51">
        <v>1214406.3899999999</v>
      </c>
      <c r="X345" s="51">
        <v>4304519.91</v>
      </c>
      <c r="Y345" s="19" t="s">
        <v>3950</v>
      </c>
      <c r="Z345" s="19"/>
      <c r="AA345" s="28"/>
      <c r="AB345" s="56"/>
      <c r="AC345" s="28"/>
      <c r="AD345" s="28"/>
      <c r="AE345" s="54"/>
      <c r="AF345" s="54"/>
      <c r="AG345" s="54"/>
      <c r="AH345" s="53"/>
      <c r="AI345" s="53" t="s">
        <v>1591</v>
      </c>
      <c r="AJ345" s="53" t="s">
        <v>1591</v>
      </c>
    </row>
    <row r="346" spans="1:36" s="3" customFormat="1" ht="36" x14ac:dyDescent="0.25">
      <c r="A346" s="17" t="s">
        <v>1823</v>
      </c>
      <c r="B346" s="18" t="s">
        <v>2103</v>
      </c>
      <c r="C346" s="19" t="s">
        <v>2182</v>
      </c>
      <c r="D346" s="45" t="s">
        <v>2183</v>
      </c>
      <c r="E346" s="50" t="s">
        <v>331</v>
      </c>
      <c r="F346" s="58" t="s">
        <v>2108</v>
      </c>
      <c r="G346" s="51">
        <v>12031838.26</v>
      </c>
      <c r="H346" s="51">
        <v>1333000</v>
      </c>
      <c r="I346" s="50" t="s">
        <v>2159</v>
      </c>
      <c r="J346" s="58" t="s">
        <v>2160</v>
      </c>
      <c r="K346" s="52" t="s">
        <v>2184</v>
      </c>
      <c r="L346" s="59">
        <v>41680</v>
      </c>
      <c r="M346" s="60">
        <f>L346+365</f>
        <v>42045</v>
      </c>
      <c r="N346" s="51">
        <v>1031953.49</v>
      </c>
      <c r="O346" s="59">
        <v>43140</v>
      </c>
      <c r="P346" s="59">
        <f>M346+1095</f>
        <v>43140</v>
      </c>
      <c r="Q346" s="51">
        <f>4292448.82-N346</f>
        <v>3260495.33</v>
      </c>
      <c r="R346" s="51">
        <f t="shared" si="14"/>
        <v>4292448.82</v>
      </c>
      <c r="S346" s="51" t="s">
        <v>200</v>
      </c>
      <c r="T346" s="52" t="s">
        <v>81</v>
      </c>
      <c r="U346" s="51">
        <v>2405226.7999999998</v>
      </c>
      <c r="V346" s="51">
        <v>560394.62</v>
      </c>
      <c r="W346" s="51">
        <v>632476.56999999995</v>
      </c>
      <c r="X346" s="51">
        <v>2405226.7999999998</v>
      </c>
      <c r="Y346" s="19" t="s">
        <v>3951</v>
      </c>
      <c r="Z346" s="19"/>
      <c r="AA346" s="28"/>
      <c r="AB346" s="56"/>
      <c r="AC346" s="28"/>
      <c r="AD346" s="28"/>
      <c r="AE346" s="54"/>
      <c r="AF346" s="54"/>
      <c r="AG346" s="54"/>
      <c r="AH346" s="53"/>
      <c r="AI346" s="53" t="s">
        <v>1591</v>
      </c>
      <c r="AJ346" s="53" t="s">
        <v>1591</v>
      </c>
    </row>
    <row r="347" spans="1:36" s="3" customFormat="1" ht="24" x14ac:dyDescent="0.25">
      <c r="A347" s="17" t="s">
        <v>1823</v>
      </c>
      <c r="B347" s="18" t="s">
        <v>2103</v>
      </c>
      <c r="C347" s="19" t="s">
        <v>2130</v>
      </c>
      <c r="D347" s="45" t="s">
        <v>2131</v>
      </c>
      <c r="E347" s="50" t="s">
        <v>1074</v>
      </c>
      <c r="F347" s="58" t="s">
        <v>1074</v>
      </c>
      <c r="G347" s="51" t="s">
        <v>200</v>
      </c>
      <c r="H347" s="51" t="s">
        <v>200</v>
      </c>
      <c r="I347" s="50" t="s">
        <v>620</v>
      </c>
      <c r="J347" s="58" t="s">
        <v>2112</v>
      </c>
      <c r="K347" s="52" t="s">
        <v>2132</v>
      </c>
      <c r="L347" s="59">
        <v>40823</v>
      </c>
      <c r="M347" s="60">
        <f>L347+365</f>
        <v>41188</v>
      </c>
      <c r="N347" s="51">
        <v>1606321.44</v>
      </c>
      <c r="O347" s="59">
        <v>42828</v>
      </c>
      <c r="P347" s="59">
        <f>M347+1640</f>
        <v>42828</v>
      </c>
      <c r="Q347" s="51">
        <v>1937013.57</v>
      </c>
      <c r="R347" s="51">
        <f t="shared" si="14"/>
        <v>3543335.01</v>
      </c>
      <c r="S347" s="51" t="s">
        <v>200</v>
      </c>
      <c r="T347" s="52" t="s">
        <v>81</v>
      </c>
      <c r="U347" s="51">
        <v>2343158.0299999998</v>
      </c>
      <c r="V347" s="51"/>
      <c r="W347" s="51">
        <v>193524.48000000001</v>
      </c>
      <c r="X347" s="51">
        <v>2343158.0299999998</v>
      </c>
      <c r="Y347" s="19" t="s">
        <v>3950</v>
      </c>
      <c r="Z347" s="19"/>
      <c r="AA347" s="28"/>
      <c r="AB347" s="56"/>
      <c r="AC347" s="28"/>
      <c r="AD347" s="28"/>
      <c r="AE347" s="54"/>
      <c r="AF347" s="54"/>
      <c r="AG347" s="54"/>
      <c r="AH347" s="53"/>
      <c r="AI347" s="53" t="s">
        <v>1591</v>
      </c>
      <c r="AJ347" s="53" t="s">
        <v>1591</v>
      </c>
    </row>
    <row r="348" spans="1:36" s="3" customFormat="1" ht="36" x14ac:dyDescent="0.25">
      <c r="A348" s="17" t="s">
        <v>1823</v>
      </c>
      <c r="B348" s="18" t="s">
        <v>2103</v>
      </c>
      <c r="C348" s="19" t="s">
        <v>3634</v>
      </c>
      <c r="D348" s="45" t="s">
        <v>3635</v>
      </c>
      <c r="E348" s="50" t="s">
        <v>1074</v>
      </c>
      <c r="F348" s="58" t="s">
        <v>1074</v>
      </c>
      <c r="G348" s="51" t="s">
        <v>200</v>
      </c>
      <c r="H348" s="51" t="s">
        <v>200</v>
      </c>
      <c r="I348" s="50" t="s">
        <v>2159</v>
      </c>
      <c r="J348" s="58" t="s">
        <v>2251</v>
      </c>
      <c r="K348" s="52" t="s">
        <v>3899</v>
      </c>
      <c r="L348" s="59">
        <v>42933</v>
      </c>
      <c r="M348" s="60">
        <f>L348+730</f>
        <v>43663</v>
      </c>
      <c r="N348" s="51">
        <v>3358558.57</v>
      </c>
      <c r="O348" s="59">
        <v>43663</v>
      </c>
      <c r="P348" s="59">
        <v>0</v>
      </c>
      <c r="Q348" s="51"/>
      <c r="R348" s="51">
        <f t="shared" si="14"/>
        <v>3358558.57</v>
      </c>
      <c r="S348" s="51" t="s">
        <v>200</v>
      </c>
      <c r="T348" s="52" t="s">
        <v>3953</v>
      </c>
      <c r="U348" s="51">
        <v>398859.66</v>
      </c>
      <c r="V348" s="51">
        <v>307654.68</v>
      </c>
      <c r="W348" s="51">
        <v>307654.68</v>
      </c>
      <c r="X348" s="51">
        <v>307654.68</v>
      </c>
      <c r="Y348" s="19" t="s">
        <v>3951</v>
      </c>
      <c r="Z348" s="19"/>
      <c r="AA348" s="28"/>
      <c r="AB348" s="56"/>
      <c r="AC348" s="28"/>
      <c r="AD348" s="28"/>
      <c r="AE348" s="54"/>
      <c r="AF348" s="54"/>
      <c r="AG348" s="54"/>
      <c r="AH348" s="53"/>
      <c r="AI348" s="53" t="s">
        <v>1591</v>
      </c>
      <c r="AJ348" s="53" t="s">
        <v>1591</v>
      </c>
    </row>
    <row r="349" spans="1:36" s="3" customFormat="1" ht="36" x14ac:dyDescent="0.25">
      <c r="A349" s="17" t="s">
        <v>1823</v>
      </c>
      <c r="B349" s="18" t="s">
        <v>2103</v>
      </c>
      <c r="C349" s="19" t="s">
        <v>2165</v>
      </c>
      <c r="D349" s="45" t="s">
        <v>2166</v>
      </c>
      <c r="E349" s="50" t="s">
        <v>1074</v>
      </c>
      <c r="F349" s="58" t="s">
        <v>1074</v>
      </c>
      <c r="G349" s="51" t="s">
        <v>200</v>
      </c>
      <c r="H349" s="51" t="s">
        <v>200</v>
      </c>
      <c r="I349" s="50" t="s">
        <v>2116</v>
      </c>
      <c r="J349" s="58" t="s">
        <v>2167</v>
      </c>
      <c r="K349" s="52" t="s">
        <v>2168</v>
      </c>
      <c r="L349" s="59">
        <v>42248</v>
      </c>
      <c r="M349" s="60">
        <f>L349+365</f>
        <v>42613</v>
      </c>
      <c r="N349" s="51">
        <v>3099999.98</v>
      </c>
      <c r="O349" s="59">
        <v>42613</v>
      </c>
      <c r="P349" s="59">
        <v>0</v>
      </c>
      <c r="Q349" s="51"/>
      <c r="R349" s="51">
        <f t="shared" si="14"/>
        <v>3099999.98</v>
      </c>
      <c r="S349" s="51" t="s">
        <v>200</v>
      </c>
      <c r="T349" s="52" t="s">
        <v>81</v>
      </c>
      <c r="U349" s="51">
        <v>870415.51</v>
      </c>
      <c r="V349" s="51"/>
      <c r="W349" s="51"/>
      <c r="X349" s="51">
        <v>870415.51</v>
      </c>
      <c r="Y349" s="19" t="s">
        <v>3950</v>
      </c>
      <c r="Z349" s="19"/>
      <c r="AA349" s="28"/>
      <c r="AB349" s="56"/>
      <c r="AC349" s="28"/>
      <c r="AD349" s="28"/>
      <c r="AE349" s="54"/>
      <c r="AF349" s="54"/>
      <c r="AG349" s="54"/>
      <c r="AH349" s="53"/>
      <c r="AI349" s="53" t="s">
        <v>1591</v>
      </c>
      <c r="AJ349" s="53" t="s">
        <v>1591</v>
      </c>
    </row>
    <row r="350" spans="1:36" s="3" customFormat="1" ht="36" x14ac:dyDescent="0.25">
      <c r="A350" s="17" t="s">
        <v>1823</v>
      </c>
      <c r="B350" s="18" t="s">
        <v>2103</v>
      </c>
      <c r="C350" s="19" t="s">
        <v>2210</v>
      </c>
      <c r="D350" s="45" t="s">
        <v>2211</v>
      </c>
      <c r="E350" s="50" t="s">
        <v>571</v>
      </c>
      <c r="F350" s="58" t="s">
        <v>2108</v>
      </c>
      <c r="G350" s="51">
        <v>30356902.07</v>
      </c>
      <c r="H350" s="51">
        <v>3400000</v>
      </c>
      <c r="I350" s="50" t="s">
        <v>238</v>
      </c>
      <c r="J350" s="58" t="s">
        <v>2212</v>
      </c>
      <c r="K350" s="52" t="s">
        <v>2213</v>
      </c>
      <c r="L350" s="59">
        <v>42419</v>
      </c>
      <c r="M350" s="60">
        <f>L350+210</f>
        <v>42629</v>
      </c>
      <c r="N350" s="51">
        <v>2935000</v>
      </c>
      <c r="O350" s="59">
        <v>42629</v>
      </c>
      <c r="P350" s="59">
        <v>0</v>
      </c>
      <c r="Q350" s="51"/>
      <c r="R350" s="51">
        <f t="shared" si="14"/>
        <v>2935000</v>
      </c>
      <c r="S350" s="51" t="s">
        <v>200</v>
      </c>
      <c r="T350" s="52" t="s">
        <v>81</v>
      </c>
      <c r="U350" s="51">
        <v>1965229.53</v>
      </c>
      <c r="V350" s="51" t="s">
        <v>200</v>
      </c>
      <c r="W350" s="51"/>
      <c r="X350" s="51">
        <v>1965229.53</v>
      </c>
      <c r="Y350" s="19" t="s">
        <v>3950</v>
      </c>
      <c r="Z350" s="19"/>
      <c r="AA350" s="28"/>
      <c r="AB350" s="56"/>
      <c r="AC350" s="28"/>
      <c r="AD350" s="28"/>
      <c r="AE350" s="54"/>
      <c r="AF350" s="54"/>
      <c r="AG350" s="54"/>
      <c r="AH350" s="53"/>
      <c r="AI350" s="53" t="s">
        <v>1591</v>
      </c>
      <c r="AJ350" s="53" t="s">
        <v>1591</v>
      </c>
    </row>
    <row r="351" spans="1:36" s="3" customFormat="1" ht="36" x14ac:dyDescent="0.25">
      <c r="A351" s="35" t="s">
        <v>2706</v>
      </c>
      <c r="B351" s="18" t="s">
        <v>2103</v>
      </c>
      <c r="C351" s="76"/>
      <c r="D351" s="43" t="s">
        <v>6368</v>
      </c>
      <c r="E351" s="78"/>
      <c r="F351" s="36"/>
      <c r="G351" s="80"/>
      <c r="H351" s="80"/>
      <c r="I351" s="36" t="s">
        <v>183</v>
      </c>
      <c r="J351" s="34" t="s">
        <v>6219</v>
      </c>
      <c r="K351" s="37" t="s">
        <v>6369</v>
      </c>
      <c r="L351" s="38">
        <v>41680</v>
      </c>
      <c r="M351" s="39">
        <v>41800</v>
      </c>
      <c r="N351" s="42">
        <v>2754999.88</v>
      </c>
      <c r="O351" s="85">
        <v>42040</v>
      </c>
      <c r="P351" s="86">
        <v>42040</v>
      </c>
      <c r="Q351" s="41">
        <v>44952.01</v>
      </c>
      <c r="R351" s="41">
        <v>2799951.8899999997</v>
      </c>
      <c r="S351" s="80"/>
      <c r="T351" s="81"/>
      <c r="U351" s="80"/>
      <c r="V351" s="80"/>
      <c r="W351" s="42"/>
      <c r="X351" s="42">
        <v>829998.6</v>
      </c>
      <c r="Y351" s="34" t="s">
        <v>4321</v>
      </c>
      <c r="Z351" s="19" t="s">
        <v>7038</v>
      </c>
      <c r="AA351" s="28"/>
      <c r="AB351" s="56"/>
      <c r="AC351" s="28"/>
      <c r="AD351" s="28"/>
      <c r="AE351" s="54"/>
      <c r="AF351" s="54"/>
      <c r="AG351" s="54"/>
      <c r="AH351" s="53"/>
      <c r="AI351" s="53" t="s">
        <v>1591</v>
      </c>
      <c r="AJ351" s="53" t="s">
        <v>1591</v>
      </c>
    </row>
    <row r="352" spans="1:36" s="3" customFormat="1" ht="36" x14ac:dyDescent="0.25">
      <c r="A352" s="17" t="s">
        <v>1823</v>
      </c>
      <c r="B352" s="18" t="s">
        <v>2103</v>
      </c>
      <c r="C352" s="76" t="s">
        <v>6370</v>
      </c>
      <c r="D352" s="45" t="s">
        <v>6371</v>
      </c>
      <c r="E352" s="78" t="s">
        <v>2104</v>
      </c>
      <c r="F352" s="79" t="s">
        <v>2104</v>
      </c>
      <c r="G352" s="80">
        <v>0</v>
      </c>
      <c r="H352" s="80">
        <v>0</v>
      </c>
      <c r="I352" s="78" t="s">
        <v>2181</v>
      </c>
      <c r="J352" s="79" t="s">
        <v>6367</v>
      </c>
      <c r="K352" s="81" t="s">
        <v>6372</v>
      </c>
      <c r="L352" s="82">
        <v>41619</v>
      </c>
      <c r="M352" s="83">
        <v>41709</v>
      </c>
      <c r="N352" s="80">
        <v>2423000</v>
      </c>
      <c r="O352" s="82">
        <v>42309</v>
      </c>
      <c r="P352" s="84">
        <v>600</v>
      </c>
      <c r="Q352" s="80">
        <v>54024.870000000112</v>
      </c>
      <c r="R352" s="80">
        <v>2477024.87</v>
      </c>
      <c r="S352" s="80">
        <v>0</v>
      </c>
      <c r="T352" s="81" t="s">
        <v>81</v>
      </c>
      <c r="U352" s="80">
        <v>1155352.21</v>
      </c>
      <c r="V352" s="80"/>
      <c r="W352" s="80"/>
      <c r="X352" s="80">
        <v>1155352.21</v>
      </c>
      <c r="Y352" s="76" t="s">
        <v>714</v>
      </c>
      <c r="Z352" s="19" t="s">
        <v>7038</v>
      </c>
      <c r="AA352" s="28"/>
      <c r="AB352" s="56"/>
      <c r="AC352" s="28"/>
      <c r="AD352" s="28"/>
      <c r="AE352" s="54"/>
      <c r="AF352" s="54"/>
      <c r="AG352" s="54"/>
      <c r="AH352" s="53"/>
      <c r="AI352" s="53" t="s">
        <v>1591</v>
      </c>
      <c r="AJ352" s="53" t="s">
        <v>1591</v>
      </c>
    </row>
    <row r="353" spans="1:36" s="3" customFormat="1" ht="24" x14ac:dyDescent="0.25">
      <c r="A353" s="17" t="s">
        <v>1823</v>
      </c>
      <c r="B353" s="18" t="s">
        <v>2103</v>
      </c>
      <c r="C353" s="19" t="s">
        <v>2229</v>
      </c>
      <c r="D353" s="45" t="s">
        <v>2230</v>
      </c>
      <c r="E353" s="50" t="s">
        <v>331</v>
      </c>
      <c r="F353" s="58" t="s">
        <v>2108</v>
      </c>
      <c r="G353" s="51">
        <v>12031838.26</v>
      </c>
      <c r="H353" s="51">
        <v>1333000</v>
      </c>
      <c r="I353" s="50" t="s">
        <v>2159</v>
      </c>
      <c r="J353" s="58" t="s">
        <v>2160</v>
      </c>
      <c r="K353" s="52" t="s">
        <v>2231</v>
      </c>
      <c r="L353" s="59">
        <v>41808</v>
      </c>
      <c r="M353" s="60">
        <f>L353+365</f>
        <v>42173</v>
      </c>
      <c r="N353" s="51">
        <v>1569965.9</v>
      </c>
      <c r="O353" s="59">
        <v>42887</v>
      </c>
      <c r="P353" s="59">
        <f>M353+714</f>
        <v>42887</v>
      </c>
      <c r="Q353" s="51">
        <v>289924.5</v>
      </c>
      <c r="R353" s="51">
        <f t="shared" ref="R353:R359" si="16">N353+Q353</f>
        <v>1859890.4</v>
      </c>
      <c r="S353" s="51">
        <v>90116.04</v>
      </c>
      <c r="T353" s="52" t="s">
        <v>81</v>
      </c>
      <c r="U353" s="51">
        <v>1478734.48</v>
      </c>
      <c r="V353" s="51" t="s">
        <v>200</v>
      </c>
      <c r="W353" s="51">
        <v>331668.34000000003</v>
      </c>
      <c r="X353" s="51">
        <v>1478734.48</v>
      </c>
      <c r="Y353" s="19" t="s">
        <v>3950</v>
      </c>
      <c r="Z353" s="19"/>
      <c r="AA353" s="28"/>
      <c r="AB353" s="56"/>
      <c r="AC353" s="28"/>
      <c r="AD353" s="28"/>
      <c r="AE353" s="54"/>
      <c r="AF353" s="54"/>
      <c r="AG353" s="54"/>
      <c r="AH353" s="53"/>
      <c r="AI353" s="53" t="s">
        <v>1591</v>
      </c>
      <c r="AJ353" s="53" t="s">
        <v>1591</v>
      </c>
    </row>
    <row r="354" spans="1:36" s="3" customFormat="1" ht="60" x14ac:dyDescent="0.25">
      <c r="A354" s="17" t="s">
        <v>1823</v>
      </c>
      <c r="B354" s="18" t="s">
        <v>2103</v>
      </c>
      <c r="C354" s="19" t="s">
        <v>3618</v>
      </c>
      <c r="D354" s="45" t="s">
        <v>3619</v>
      </c>
      <c r="E354" s="50" t="s">
        <v>1074</v>
      </c>
      <c r="F354" s="58" t="s">
        <v>1074</v>
      </c>
      <c r="G354" s="51" t="s">
        <v>200</v>
      </c>
      <c r="H354" s="51" t="s">
        <v>200</v>
      </c>
      <c r="I354" s="50" t="s">
        <v>616</v>
      </c>
      <c r="J354" s="58" t="s">
        <v>2261</v>
      </c>
      <c r="K354" s="52" t="s">
        <v>3888</v>
      </c>
      <c r="L354" s="59">
        <v>42623</v>
      </c>
      <c r="M354" s="60">
        <f>L354+120</f>
        <v>42743</v>
      </c>
      <c r="N354" s="51">
        <v>1257104.1200000001</v>
      </c>
      <c r="O354" s="59">
        <v>42773</v>
      </c>
      <c r="P354" s="59">
        <f>M354+30</f>
        <v>42773</v>
      </c>
      <c r="Q354" s="51">
        <v>42358.21</v>
      </c>
      <c r="R354" s="51">
        <f t="shared" si="16"/>
        <v>1299462.33</v>
      </c>
      <c r="S354" s="51" t="s">
        <v>200</v>
      </c>
      <c r="T354" s="52" t="s">
        <v>81</v>
      </c>
      <c r="U354" s="51">
        <v>1299462.33</v>
      </c>
      <c r="V354" s="51" t="s">
        <v>200</v>
      </c>
      <c r="W354" s="51">
        <v>1109.8800000000001</v>
      </c>
      <c r="X354" s="51">
        <v>1299462.33</v>
      </c>
      <c r="Y354" s="19" t="s">
        <v>3950</v>
      </c>
      <c r="Z354" s="19"/>
      <c r="AA354" s="28"/>
      <c r="AB354" s="56"/>
      <c r="AC354" s="28"/>
      <c r="AD354" s="28"/>
      <c r="AE354" s="54"/>
      <c r="AF354" s="54"/>
      <c r="AG354" s="54"/>
      <c r="AH354" s="53"/>
      <c r="AI354" s="53" t="s">
        <v>1591</v>
      </c>
      <c r="AJ354" s="53" t="s">
        <v>1591</v>
      </c>
    </row>
    <row r="355" spans="1:36" s="3" customFormat="1" ht="36" x14ac:dyDescent="0.25">
      <c r="A355" s="17" t="s">
        <v>1823</v>
      </c>
      <c r="B355" s="18" t="s">
        <v>2103</v>
      </c>
      <c r="C355" s="19" t="s">
        <v>2263</v>
      </c>
      <c r="D355" s="45" t="s">
        <v>2264</v>
      </c>
      <c r="E355" s="50" t="s">
        <v>1074</v>
      </c>
      <c r="F355" s="58" t="s">
        <v>1074</v>
      </c>
      <c r="G355" s="51" t="s">
        <v>200</v>
      </c>
      <c r="H355" s="51" t="s">
        <v>200</v>
      </c>
      <c r="I355" s="50" t="s">
        <v>2193</v>
      </c>
      <c r="J355" s="58" t="s">
        <v>2265</v>
      </c>
      <c r="K355" s="52" t="s">
        <v>2266</v>
      </c>
      <c r="L355" s="59">
        <v>42562</v>
      </c>
      <c r="M355" s="60">
        <f>L355+120</f>
        <v>42682</v>
      </c>
      <c r="N355" s="51">
        <v>894998.06</v>
      </c>
      <c r="O355" s="59">
        <v>42742</v>
      </c>
      <c r="P355" s="59">
        <f>M355+60</f>
        <v>42742</v>
      </c>
      <c r="Q355" s="51">
        <v>220775.65</v>
      </c>
      <c r="R355" s="51">
        <f t="shared" si="16"/>
        <v>1115773.71</v>
      </c>
      <c r="S355" s="51" t="s">
        <v>200</v>
      </c>
      <c r="T355" s="52" t="s">
        <v>81</v>
      </c>
      <c r="U355" s="51">
        <v>1115773.7</v>
      </c>
      <c r="V355" s="51" t="s">
        <v>200</v>
      </c>
      <c r="W355" s="51">
        <v>245884.89</v>
      </c>
      <c r="X355" s="51">
        <v>1115773.7</v>
      </c>
      <c r="Y355" s="19" t="s">
        <v>3950</v>
      </c>
      <c r="Z355" s="19"/>
      <c r="AA355" s="28"/>
      <c r="AB355" s="56"/>
      <c r="AC355" s="28"/>
      <c r="AD355" s="28"/>
      <c r="AE355" s="54"/>
      <c r="AF355" s="54"/>
      <c r="AG355" s="54"/>
      <c r="AH355" s="53"/>
      <c r="AI355" s="53" t="s">
        <v>1591</v>
      </c>
      <c r="AJ355" s="53" t="s">
        <v>1591</v>
      </c>
    </row>
    <row r="356" spans="1:36" s="3" customFormat="1" ht="24" x14ac:dyDescent="0.25">
      <c r="A356" s="17" t="s">
        <v>1823</v>
      </c>
      <c r="B356" s="18" t="s">
        <v>2103</v>
      </c>
      <c r="C356" s="19" t="s">
        <v>2157</v>
      </c>
      <c r="D356" s="45" t="s">
        <v>2158</v>
      </c>
      <c r="E356" s="50" t="s">
        <v>1074</v>
      </c>
      <c r="F356" s="58" t="s">
        <v>1074</v>
      </c>
      <c r="G356" s="51" t="s">
        <v>200</v>
      </c>
      <c r="H356" s="51" t="s">
        <v>200</v>
      </c>
      <c r="I356" s="50" t="s">
        <v>2159</v>
      </c>
      <c r="J356" s="58" t="s">
        <v>2160</v>
      </c>
      <c r="K356" s="52" t="s">
        <v>2161</v>
      </c>
      <c r="L356" s="59">
        <v>41536</v>
      </c>
      <c r="M356" s="60">
        <f>L356+90</f>
        <v>41626</v>
      </c>
      <c r="N356" s="51">
        <v>772716.05</v>
      </c>
      <c r="O356" s="59">
        <v>42256</v>
      </c>
      <c r="P356" s="59">
        <f>M356+630</f>
        <v>42256</v>
      </c>
      <c r="Q356" s="51">
        <v>134301.18</v>
      </c>
      <c r="R356" s="51">
        <f t="shared" si="16"/>
        <v>907017.23</v>
      </c>
      <c r="S356" s="51" t="s">
        <v>200</v>
      </c>
      <c r="T356" s="52" t="s">
        <v>52</v>
      </c>
      <c r="U356" s="51">
        <v>820232.67</v>
      </c>
      <c r="V356" s="51" t="s">
        <v>200</v>
      </c>
      <c r="W356" s="51"/>
      <c r="X356" s="51">
        <v>820232.67</v>
      </c>
      <c r="Y356" s="19" t="s">
        <v>3950</v>
      </c>
      <c r="Z356" s="19"/>
      <c r="AA356" s="28"/>
      <c r="AB356" s="56"/>
      <c r="AC356" s="28"/>
      <c r="AD356" s="28"/>
      <c r="AE356" s="54"/>
      <c r="AF356" s="54"/>
      <c r="AG356" s="54"/>
      <c r="AH356" s="53"/>
      <c r="AI356" s="53" t="s">
        <v>1591</v>
      </c>
      <c r="AJ356" s="53" t="s">
        <v>1591</v>
      </c>
    </row>
    <row r="357" spans="1:36" s="3" customFormat="1" ht="24" x14ac:dyDescent="0.25">
      <c r="A357" s="17" t="s">
        <v>1823</v>
      </c>
      <c r="B357" s="18" t="s">
        <v>2103</v>
      </c>
      <c r="C357" s="19" t="s">
        <v>2162</v>
      </c>
      <c r="D357" s="45" t="s">
        <v>2163</v>
      </c>
      <c r="E357" s="50" t="s">
        <v>1074</v>
      </c>
      <c r="F357" s="58" t="s">
        <v>1074</v>
      </c>
      <c r="G357" s="51" t="s">
        <v>200</v>
      </c>
      <c r="H357" s="51" t="s">
        <v>200</v>
      </c>
      <c r="I357" s="50" t="s">
        <v>2159</v>
      </c>
      <c r="J357" s="58" t="s">
        <v>2160</v>
      </c>
      <c r="K357" s="52" t="s">
        <v>2164</v>
      </c>
      <c r="L357" s="59">
        <v>41541</v>
      </c>
      <c r="M357" s="60">
        <f>L357+90</f>
        <v>41631</v>
      </c>
      <c r="N357" s="51">
        <v>681511.13</v>
      </c>
      <c r="O357" s="59">
        <v>42411</v>
      </c>
      <c r="P357" s="59">
        <f>M357+780</f>
        <v>42411</v>
      </c>
      <c r="Q357" s="51">
        <v>60200.52</v>
      </c>
      <c r="R357" s="51">
        <f t="shared" si="16"/>
        <v>741711.65</v>
      </c>
      <c r="S357" s="51" t="s">
        <v>200</v>
      </c>
      <c r="T357" s="52" t="s">
        <v>52</v>
      </c>
      <c r="U357" s="51">
        <v>188658.29</v>
      </c>
      <c r="V357" s="51" t="s">
        <v>200</v>
      </c>
      <c r="W357" s="51"/>
      <c r="X357" s="51">
        <v>188658.29</v>
      </c>
      <c r="Y357" s="19" t="s">
        <v>3950</v>
      </c>
      <c r="Z357" s="19"/>
      <c r="AA357" s="28"/>
      <c r="AB357" s="56"/>
      <c r="AC357" s="28"/>
      <c r="AD357" s="28"/>
      <c r="AE357" s="54"/>
      <c r="AF357" s="54"/>
      <c r="AG357" s="54"/>
      <c r="AH357" s="53"/>
      <c r="AI357" s="53" t="s">
        <v>1591</v>
      </c>
      <c r="AJ357" s="53" t="s">
        <v>1591</v>
      </c>
    </row>
    <row r="358" spans="1:36" s="3" customFormat="1" ht="36" x14ac:dyDescent="0.25">
      <c r="A358" s="17" t="s">
        <v>1823</v>
      </c>
      <c r="B358" s="18" t="s">
        <v>2103</v>
      </c>
      <c r="C358" s="19" t="s">
        <v>3632</v>
      </c>
      <c r="D358" s="45" t="s">
        <v>3633</v>
      </c>
      <c r="E358" s="50" t="s">
        <v>1074</v>
      </c>
      <c r="F358" s="58" t="s">
        <v>1074</v>
      </c>
      <c r="G358" s="51" t="s">
        <v>200</v>
      </c>
      <c r="H358" s="51" t="s">
        <v>200</v>
      </c>
      <c r="I358" s="50" t="s">
        <v>2098</v>
      </c>
      <c r="J358" s="58" t="s">
        <v>2109</v>
      </c>
      <c r="K358" s="52" t="s">
        <v>3898</v>
      </c>
      <c r="L358" s="59">
        <v>42842</v>
      </c>
      <c r="M358" s="60">
        <f>L358+90</f>
        <v>42932</v>
      </c>
      <c r="N358" s="51">
        <v>684463.58</v>
      </c>
      <c r="O358" s="59">
        <v>42992</v>
      </c>
      <c r="P358" s="59">
        <f>M358+60</f>
        <v>42992</v>
      </c>
      <c r="Q358" s="51">
        <v>-10.33</v>
      </c>
      <c r="R358" s="51">
        <f t="shared" si="16"/>
        <v>684453.25</v>
      </c>
      <c r="S358" s="51" t="s">
        <v>200</v>
      </c>
      <c r="T358" s="52" t="s">
        <v>81</v>
      </c>
      <c r="U358" s="51">
        <v>682202.6</v>
      </c>
      <c r="V358" s="51" t="s">
        <v>200</v>
      </c>
      <c r="W358" s="51">
        <v>682202.6</v>
      </c>
      <c r="X358" s="51">
        <v>682202.6</v>
      </c>
      <c r="Y358" s="19" t="s">
        <v>3952</v>
      </c>
      <c r="Z358" s="19"/>
      <c r="AA358" s="28"/>
      <c r="AB358" s="56"/>
      <c r="AC358" s="28"/>
      <c r="AD358" s="28"/>
      <c r="AE358" s="54"/>
      <c r="AF358" s="54"/>
      <c r="AG358" s="54"/>
      <c r="AH358" s="53"/>
      <c r="AI358" s="53" t="s">
        <v>1591</v>
      </c>
      <c r="AJ358" s="53" t="s">
        <v>1591</v>
      </c>
    </row>
    <row r="359" spans="1:36" s="3" customFormat="1" ht="24" x14ac:dyDescent="0.25">
      <c r="A359" s="17" t="s">
        <v>1823</v>
      </c>
      <c r="B359" s="18" t="s">
        <v>2103</v>
      </c>
      <c r="C359" s="19" t="s">
        <v>2259</v>
      </c>
      <c r="D359" s="45" t="s">
        <v>2260</v>
      </c>
      <c r="E359" s="50" t="s">
        <v>1074</v>
      </c>
      <c r="F359" s="58" t="s">
        <v>1074</v>
      </c>
      <c r="G359" s="51" t="s">
        <v>200</v>
      </c>
      <c r="H359" s="51" t="s">
        <v>200</v>
      </c>
      <c r="I359" s="50" t="s">
        <v>616</v>
      </c>
      <c r="J359" s="58" t="s">
        <v>2261</v>
      </c>
      <c r="K359" s="52" t="s">
        <v>2262</v>
      </c>
      <c r="L359" s="59">
        <v>42598</v>
      </c>
      <c r="M359" s="60">
        <f>L359+140</f>
        <v>42738</v>
      </c>
      <c r="N359" s="51">
        <v>609474.31999999995</v>
      </c>
      <c r="O359" s="59">
        <v>42738</v>
      </c>
      <c r="P359" s="59">
        <v>0</v>
      </c>
      <c r="Q359" s="51"/>
      <c r="R359" s="51">
        <f t="shared" si="16"/>
        <v>609474.31999999995</v>
      </c>
      <c r="S359" s="51" t="s">
        <v>200</v>
      </c>
      <c r="T359" s="52" t="s">
        <v>81</v>
      </c>
      <c r="U359" s="51">
        <v>592652.82999999996</v>
      </c>
      <c r="V359" s="51" t="s">
        <v>200</v>
      </c>
      <c r="W359" s="51"/>
      <c r="X359" s="51">
        <v>592652.82999999996</v>
      </c>
      <c r="Y359" s="19" t="s">
        <v>3950</v>
      </c>
      <c r="Z359" s="19"/>
      <c r="AA359" s="28"/>
      <c r="AB359" s="56"/>
      <c r="AC359" s="28"/>
      <c r="AD359" s="28"/>
      <c r="AE359" s="54"/>
      <c r="AF359" s="54"/>
      <c r="AG359" s="54"/>
      <c r="AH359" s="53"/>
      <c r="AI359" s="53" t="s">
        <v>1591</v>
      </c>
      <c r="AJ359" s="53" t="s">
        <v>1591</v>
      </c>
    </row>
    <row r="360" spans="1:36" s="3" customFormat="1" ht="36" x14ac:dyDescent="0.25">
      <c r="A360" s="35" t="s">
        <v>2706</v>
      </c>
      <c r="B360" s="18" t="s">
        <v>2103</v>
      </c>
      <c r="C360" s="76"/>
      <c r="D360" s="43" t="s">
        <v>6373</v>
      </c>
      <c r="E360" s="78"/>
      <c r="F360" s="36"/>
      <c r="G360" s="80"/>
      <c r="H360" s="80"/>
      <c r="I360" s="36" t="s">
        <v>620</v>
      </c>
      <c r="J360" s="34" t="s">
        <v>621</v>
      </c>
      <c r="K360" s="37" t="s">
        <v>6374</v>
      </c>
      <c r="L360" s="38">
        <v>41687</v>
      </c>
      <c r="M360" s="39">
        <v>41747</v>
      </c>
      <c r="N360" s="42">
        <v>574000</v>
      </c>
      <c r="O360" s="85">
        <v>41947</v>
      </c>
      <c r="P360" s="86">
        <v>41947</v>
      </c>
      <c r="Q360" s="41">
        <v>-35.36</v>
      </c>
      <c r="R360" s="41">
        <v>573964.64</v>
      </c>
      <c r="S360" s="80"/>
      <c r="T360" s="81"/>
      <c r="U360" s="80"/>
      <c r="V360" s="80"/>
      <c r="W360" s="42"/>
      <c r="X360" s="42">
        <v>375284.57</v>
      </c>
      <c r="Y360" s="34" t="s">
        <v>4321</v>
      </c>
      <c r="Z360" s="19" t="s">
        <v>7038</v>
      </c>
      <c r="AA360" s="28"/>
      <c r="AB360" s="56"/>
      <c r="AC360" s="28"/>
      <c r="AD360" s="28"/>
      <c r="AE360" s="54"/>
      <c r="AF360" s="54"/>
      <c r="AG360" s="54"/>
      <c r="AH360" s="53"/>
      <c r="AI360" s="53" t="s">
        <v>1591</v>
      </c>
      <c r="AJ360" s="53" t="s">
        <v>1591</v>
      </c>
    </row>
    <row r="361" spans="1:36" s="3" customFormat="1" ht="60" x14ac:dyDescent="0.25">
      <c r="A361" s="17" t="s">
        <v>1823</v>
      </c>
      <c r="B361" s="18" t="s">
        <v>2103</v>
      </c>
      <c r="C361" s="19" t="s">
        <v>2267</v>
      </c>
      <c r="D361" s="45" t="s">
        <v>2268</v>
      </c>
      <c r="E361" s="50" t="s">
        <v>1074</v>
      </c>
      <c r="F361" s="58" t="s">
        <v>1074</v>
      </c>
      <c r="G361" s="51" t="s">
        <v>200</v>
      </c>
      <c r="H361" s="51" t="s">
        <v>200</v>
      </c>
      <c r="I361" s="50" t="s">
        <v>616</v>
      </c>
      <c r="J361" s="58" t="s">
        <v>2261</v>
      </c>
      <c r="K361" s="52" t="s">
        <v>2269</v>
      </c>
      <c r="L361" s="59">
        <v>42570</v>
      </c>
      <c r="M361" s="60">
        <f>L361+90</f>
        <v>42660</v>
      </c>
      <c r="N361" s="51">
        <v>450301.9</v>
      </c>
      <c r="O361" s="59">
        <v>42785</v>
      </c>
      <c r="P361" s="59">
        <f>M361+125</f>
        <v>42785</v>
      </c>
      <c r="Q361" s="51">
        <v>51214.5</v>
      </c>
      <c r="R361" s="51">
        <f t="shared" ref="R361:R367" si="17">N361+Q361</f>
        <v>501516.4</v>
      </c>
      <c r="S361" s="51" t="s">
        <v>200</v>
      </c>
      <c r="T361" s="52" t="s">
        <v>81</v>
      </c>
      <c r="U361" s="51">
        <v>501516.4</v>
      </c>
      <c r="V361" s="51" t="s">
        <v>200</v>
      </c>
      <c r="W361" s="51">
        <v>19977.72</v>
      </c>
      <c r="X361" s="51">
        <v>501516.4</v>
      </c>
      <c r="Y361" s="19" t="s">
        <v>3950</v>
      </c>
      <c r="Z361" s="19"/>
      <c r="AA361" s="28"/>
      <c r="AB361" s="56"/>
      <c r="AC361" s="28"/>
      <c r="AD361" s="28"/>
      <c r="AE361" s="54"/>
      <c r="AF361" s="54"/>
      <c r="AG361" s="54"/>
      <c r="AH361" s="53"/>
      <c r="AI361" s="53" t="s">
        <v>1591</v>
      </c>
      <c r="AJ361" s="53" t="s">
        <v>1591</v>
      </c>
    </row>
    <row r="362" spans="1:36" s="3" customFormat="1" ht="48" x14ac:dyDescent="0.25">
      <c r="A362" s="17" t="s">
        <v>1823</v>
      </c>
      <c r="B362" s="18" t="s">
        <v>2103</v>
      </c>
      <c r="C362" s="19" t="s">
        <v>2252</v>
      </c>
      <c r="D362" s="45" t="s">
        <v>2253</v>
      </c>
      <c r="E362" s="50" t="s">
        <v>1074</v>
      </c>
      <c r="F362" s="58" t="s">
        <v>1074</v>
      </c>
      <c r="G362" s="51" t="s">
        <v>200</v>
      </c>
      <c r="H362" s="51" t="s">
        <v>200</v>
      </c>
      <c r="I362" s="50" t="s">
        <v>620</v>
      </c>
      <c r="J362" s="58" t="s">
        <v>2112</v>
      </c>
      <c r="K362" s="52" t="s">
        <v>2254</v>
      </c>
      <c r="L362" s="59">
        <v>42515</v>
      </c>
      <c r="M362" s="60">
        <f>L362+210</f>
        <v>42725</v>
      </c>
      <c r="N362" s="51">
        <v>410999.99</v>
      </c>
      <c r="O362" s="59">
        <v>42815</v>
      </c>
      <c r="P362" s="59">
        <f>M362+90</f>
        <v>42815</v>
      </c>
      <c r="Q362" s="51"/>
      <c r="R362" s="51">
        <f t="shared" si="17"/>
        <v>410999.99</v>
      </c>
      <c r="S362" s="51" t="s">
        <v>200</v>
      </c>
      <c r="T362" s="52" t="s">
        <v>81</v>
      </c>
      <c r="U362" s="51">
        <v>174381.97</v>
      </c>
      <c r="V362" s="51" t="s">
        <v>200</v>
      </c>
      <c r="W362" s="51">
        <v>20499.05</v>
      </c>
      <c r="X362" s="51">
        <v>174381.97</v>
      </c>
      <c r="Y362" s="19" t="s">
        <v>3950</v>
      </c>
      <c r="Z362" s="19"/>
      <c r="AA362" s="28"/>
      <c r="AB362" s="56"/>
      <c r="AC362" s="28"/>
      <c r="AD362" s="28"/>
      <c r="AE362" s="54"/>
      <c r="AF362" s="54"/>
      <c r="AG362" s="54"/>
      <c r="AH362" s="53"/>
      <c r="AI362" s="53" t="s">
        <v>1591</v>
      </c>
      <c r="AJ362" s="53" t="s">
        <v>1591</v>
      </c>
    </row>
    <row r="363" spans="1:36" s="3" customFormat="1" ht="72" x14ac:dyDescent="0.25">
      <c r="A363" s="17" t="s">
        <v>1823</v>
      </c>
      <c r="B363" s="18" t="s">
        <v>2103</v>
      </c>
      <c r="C363" s="19" t="s">
        <v>3622</v>
      </c>
      <c r="D363" s="45" t="s">
        <v>3623</v>
      </c>
      <c r="E363" s="50" t="s">
        <v>1074</v>
      </c>
      <c r="F363" s="58" t="s">
        <v>1074</v>
      </c>
      <c r="G363" s="51" t="s">
        <v>200</v>
      </c>
      <c r="H363" s="51" t="s">
        <v>200</v>
      </c>
      <c r="I363" s="50" t="s">
        <v>620</v>
      </c>
      <c r="J363" s="58" t="s">
        <v>621</v>
      </c>
      <c r="K363" s="52" t="s">
        <v>3890</v>
      </c>
      <c r="L363" s="59">
        <v>42566</v>
      </c>
      <c r="M363" s="60">
        <f>L363+120</f>
        <v>42686</v>
      </c>
      <c r="N363" s="51">
        <v>362000</v>
      </c>
      <c r="O363" s="59">
        <v>42686</v>
      </c>
      <c r="P363" s="59">
        <v>0</v>
      </c>
      <c r="Q363" s="51"/>
      <c r="R363" s="51">
        <f t="shared" si="17"/>
        <v>362000</v>
      </c>
      <c r="S363" s="51" t="s">
        <v>200</v>
      </c>
      <c r="T363" s="52" t="s">
        <v>81</v>
      </c>
      <c r="U363" s="51">
        <v>162445.73000000001</v>
      </c>
      <c r="V363" s="51" t="s">
        <v>200</v>
      </c>
      <c r="W363" s="51">
        <v>55262.53</v>
      </c>
      <c r="X363" s="51">
        <v>162445.73000000001</v>
      </c>
      <c r="Y363" s="19" t="s">
        <v>3950</v>
      </c>
      <c r="Z363" s="19"/>
      <c r="AA363" s="28"/>
      <c r="AB363" s="56"/>
      <c r="AC363" s="28"/>
      <c r="AD363" s="28"/>
      <c r="AE363" s="54"/>
      <c r="AF363" s="54"/>
      <c r="AG363" s="54"/>
      <c r="AH363" s="53"/>
      <c r="AI363" s="53" t="s">
        <v>1591</v>
      </c>
      <c r="AJ363" s="53" t="s">
        <v>1591</v>
      </c>
    </row>
    <row r="364" spans="1:36" s="3" customFormat="1" ht="48" x14ac:dyDescent="0.25">
      <c r="A364" s="17" t="s">
        <v>1823</v>
      </c>
      <c r="B364" s="18" t="s">
        <v>2103</v>
      </c>
      <c r="C364" s="19" t="s">
        <v>3638</v>
      </c>
      <c r="D364" s="45" t="s">
        <v>3639</v>
      </c>
      <c r="E364" s="50"/>
      <c r="F364" s="58"/>
      <c r="G364" s="51"/>
      <c r="H364" s="51"/>
      <c r="I364" s="50" t="s">
        <v>616</v>
      </c>
      <c r="J364" s="58" t="s">
        <v>2261</v>
      </c>
      <c r="K364" s="52" t="s">
        <v>3901</v>
      </c>
      <c r="L364" s="59">
        <v>43068</v>
      </c>
      <c r="M364" s="60">
        <f>L364+30</f>
        <v>43098</v>
      </c>
      <c r="N364" s="51">
        <v>255823.13</v>
      </c>
      <c r="O364" s="59">
        <v>43097</v>
      </c>
      <c r="P364" s="59">
        <v>0</v>
      </c>
      <c r="Q364" s="51"/>
      <c r="R364" s="51">
        <f t="shared" si="17"/>
        <v>255823.13</v>
      </c>
      <c r="S364" s="51"/>
      <c r="T364" s="52" t="s">
        <v>2202</v>
      </c>
      <c r="U364" s="51">
        <v>200570.1</v>
      </c>
      <c r="V364" s="51">
        <v>200570.1</v>
      </c>
      <c r="W364" s="51">
        <v>200570.1</v>
      </c>
      <c r="X364" s="51">
        <v>200570.1</v>
      </c>
      <c r="Y364" s="19" t="s">
        <v>3952</v>
      </c>
      <c r="Z364" s="19"/>
      <c r="AA364" s="28"/>
      <c r="AB364" s="56"/>
      <c r="AC364" s="28"/>
      <c r="AD364" s="28"/>
      <c r="AE364" s="54"/>
      <c r="AF364" s="54"/>
      <c r="AG364" s="54"/>
      <c r="AH364" s="53"/>
      <c r="AI364" s="53" t="s">
        <v>1591</v>
      </c>
      <c r="AJ364" s="53" t="s">
        <v>1591</v>
      </c>
    </row>
    <row r="365" spans="1:36" s="3" customFormat="1" ht="48" x14ac:dyDescent="0.25">
      <c r="A365" s="17" t="s">
        <v>1823</v>
      </c>
      <c r="B365" s="18" t="s">
        <v>2103</v>
      </c>
      <c r="C365" s="19" t="s">
        <v>3636</v>
      </c>
      <c r="D365" s="45" t="s">
        <v>3637</v>
      </c>
      <c r="E365" s="50" t="s">
        <v>1074</v>
      </c>
      <c r="F365" s="58" t="s">
        <v>1074</v>
      </c>
      <c r="G365" s="51" t="s">
        <v>200</v>
      </c>
      <c r="H365" s="51" t="s">
        <v>200</v>
      </c>
      <c r="I365" s="50" t="s">
        <v>536</v>
      </c>
      <c r="J365" s="58" t="s">
        <v>2107</v>
      </c>
      <c r="K365" s="52" t="s">
        <v>3900</v>
      </c>
      <c r="L365" s="59">
        <v>42993</v>
      </c>
      <c r="M365" s="60">
        <f>L365+60</f>
        <v>43053</v>
      </c>
      <c r="N365" s="51">
        <v>168620.53</v>
      </c>
      <c r="O365" s="59">
        <v>43053</v>
      </c>
      <c r="P365" s="59">
        <v>0</v>
      </c>
      <c r="Q365" s="51"/>
      <c r="R365" s="51">
        <f t="shared" si="17"/>
        <v>168620.53</v>
      </c>
      <c r="S365" s="51" t="s">
        <v>200</v>
      </c>
      <c r="T365" s="52" t="s">
        <v>3953</v>
      </c>
      <c r="U365" s="51">
        <v>168620.53</v>
      </c>
      <c r="V365" s="51">
        <v>168620.53</v>
      </c>
      <c r="W365" s="51">
        <v>168620.53</v>
      </c>
      <c r="X365" s="51">
        <v>168620.53</v>
      </c>
      <c r="Y365" s="19" t="s">
        <v>3952</v>
      </c>
      <c r="Z365" s="19"/>
      <c r="AA365" s="28"/>
      <c r="AB365" s="56"/>
      <c r="AC365" s="28"/>
      <c r="AD365" s="28"/>
      <c r="AE365" s="54"/>
      <c r="AF365" s="54"/>
      <c r="AG365" s="54"/>
      <c r="AH365" s="53"/>
      <c r="AI365" s="53" t="s">
        <v>1591</v>
      </c>
      <c r="AJ365" s="53" t="s">
        <v>1591</v>
      </c>
    </row>
    <row r="366" spans="1:36" s="3" customFormat="1" ht="24" x14ac:dyDescent="0.25">
      <c r="A366" s="17" t="s">
        <v>1823</v>
      </c>
      <c r="B366" s="18" t="s">
        <v>2103</v>
      </c>
      <c r="C366" s="19" t="s">
        <v>3612</v>
      </c>
      <c r="D366" s="45" t="s">
        <v>3613</v>
      </c>
      <c r="E366" s="50" t="s">
        <v>1074</v>
      </c>
      <c r="F366" s="58" t="s">
        <v>1074</v>
      </c>
      <c r="G366" s="51" t="s">
        <v>200</v>
      </c>
      <c r="H366" s="51" t="s">
        <v>200</v>
      </c>
      <c r="I366" s="50" t="s">
        <v>238</v>
      </c>
      <c r="J366" s="58" t="s">
        <v>2690</v>
      </c>
      <c r="K366" s="52" t="s">
        <v>3884</v>
      </c>
      <c r="L366" s="59">
        <v>42639</v>
      </c>
      <c r="M366" s="60">
        <f>L366+60</f>
        <v>42699</v>
      </c>
      <c r="N366" s="51">
        <v>147406.67000000001</v>
      </c>
      <c r="O366" s="59">
        <v>43149</v>
      </c>
      <c r="P366" s="59">
        <f>M366+450</f>
        <v>43149</v>
      </c>
      <c r="Q366" s="51">
        <v>16792.43</v>
      </c>
      <c r="R366" s="51">
        <f t="shared" si="17"/>
        <v>164199.1</v>
      </c>
      <c r="S366" s="51" t="s">
        <v>200</v>
      </c>
      <c r="T366" s="52" t="s">
        <v>81</v>
      </c>
      <c r="U366" s="51">
        <v>114109.73</v>
      </c>
      <c r="V366" s="51"/>
      <c r="W366" s="51"/>
      <c r="X366" s="51">
        <v>69326.45</v>
      </c>
      <c r="Y366" s="19" t="s">
        <v>3951</v>
      </c>
      <c r="Z366" s="19"/>
      <c r="AA366" s="28"/>
      <c r="AB366" s="56"/>
      <c r="AC366" s="28"/>
      <c r="AD366" s="28"/>
      <c r="AE366" s="54"/>
      <c r="AF366" s="54"/>
      <c r="AG366" s="54"/>
      <c r="AH366" s="53"/>
      <c r="AI366" s="53" t="s">
        <v>1591</v>
      </c>
      <c r="AJ366" s="53" t="s">
        <v>1591</v>
      </c>
    </row>
    <row r="367" spans="1:36" s="3" customFormat="1" ht="24" x14ac:dyDescent="0.25">
      <c r="A367" s="17" t="s">
        <v>1823</v>
      </c>
      <c r="B367" s="18" t="s">
        <v>2103</v>
      </c>
      <c r="C367" s="19" t="s">
        <v>2255</v>
      </c>
      <c r="D367" s="45" t="s">
        <v>2256</v>
      </c>
      <c r="E367" s="50" t="s">
        <v>1074</v>
      </c>
      <c r="F367" s="58" t="s">
        <v>1074</v>
      </c>
      <c r="G367" s="51" t="s">
        <v>200</v>
      </c>
      <c r="H367" s="51" t="s">
        <v>200</v>
      </c>
      <c r="I367" s="50" t="s">
        <v>2159</v>
      </c>
      <c r="J367" s="58" t="s">
        <v>2257</v>
      </c>
      <c r="K367" s="52" t="s">
        <v>2258</v>
      </c>
      <c r="L367" s="59">
        <v>42585</v>
      </c>
      <c r="M367" s="60">
        <f>L367+60</f>
        <v>42645</v>
      </c>
      <c r="N367" s="51">
        <v>147995.4</v>
      </c>
      <c r="O367" s="59">
        <v>42735</v>
      </c>
      <c r="P367" s="59">
        <f>M367+90</f>
        <v>42735</v>
      </c>
      <c r="Q367" s="51"/>
      <c r="R367" s="51">
        <f t="shared" si="17"/>
        <v>147995.4</v>
      </c>
      <c r="S367" s="51" t="s">
        <v>200</v>
      </c>
      <c r="T367" s="52" t="s">
        <v>81</v>
      </c>
      <c r="U367" s="51">
        <v>142434.9</v>
      </c>
      <c r="V367" s="51" t="s">
        <v>200</v>
      </c>
      <c r="W367" s="51">
        <v>31380</v>
      </c>
      <c r="X367" s="51">
        <v>142434.9</v>
      </c>
      <c r="Y367" s="19" t="s">
        <v>3950</v>
      </c>
      <c r="Z367" s="19"/>
      <c r="AA367" s="28"/>
      <c r="AB367" s="56"/>
      <c r="AC367" s="28"/>
      <c r="AD367" s="28"/>
      <c r="AE367" s="54"/>
      <c r="AF367" s="54"/>
      <c r="AG367" s="54"/>
      <c r="AH367" s="53"/>
      <c r="AI367" s="53" t="s">
        <v>1591</v>
      </c>
      <c r="AJ367" s="53" t="s">
        <v>1591</v>
      </c>
    </row>
    <row r="368" spans="1:36" s="3" customFormat="1" ht="36" x14ac:dyDescent="0.25">
      <c r="A368" s="17" t="s">
        <v>1823</v>
      </c>
      <c r="B368" s="18" t="s">
        <v>2103</v>
      </c>
      <c r="C368" s="76" t="s">
        <v>6375</v>
      </c>
      <c r="D368" s="45" t="s">
        <v>6376</v>
      </c>
      <c r="E368" s="78" t="s">
        <v>2104</v>
      </c>
      <c r="F368" s="79" t="s">
        <v>2104</v>
      </c>
      <c r="G368" s="80">
        <v>0</v>
      </c>
      <c r="H368" s="80">
        <v>0</v>
      </c>
      <c r="I368" s="78" t="s">
        <v>2106</v>
      </c>
      <c r="J368" s="79" t="s">
        <v>6377</v>
      </c>
      <c r="K368" s="81" t="s">
        <v>6378</v>
      </c>
      <c r="L368" s="82">
        <v>42293</v>
      </c>
      <c r="M368" s="83">
        <v>42353</v>
      </c>
      <c r="N368" s="80">
        <v>145424.59</v>
      </c>
      <c r="O368" s="82">
        <v>42623</v>
      </c>
      <c r="P368" s="84">
        <v>270</v>
      </c>
      <c r="Q368" s="80">
        <v>0</v>
      </c>
      <c r="R368" s="80">
        <v>145424.59</v>
      </c>
      <c r="S368" s="80">
        <v>0</v>
      </c>
      <c r="T368" s="81" t="s">
        <v>81</v>
      </c>
      <c r="U368" s="80">
        <v>49567.1</v>
      </c>
      <c r="V368" s="80"/>
      <c r="W368" s="80"/>
      <c r="X368" s="80">
        <v>49567.1</v>
      </c>
      <c r="Y368" s="76" t="s">
        <v>714</v>
      </c>
      <c r="Z368" s="19" t="s">
        <v>7038</v>
      </c>
      <c r="AA368" s="28"/>
      <c r="AB368" s="56"/>
      <c r="AC368" s="28"/>
      <c r="AD368" s="28"/>
      <c r="AE368" s="54"/>
      <c r="AF368" s="54"/>
      <c r="AG368" s="54"/>
      <c r="AH368" s="53"/>
      <c r="AI368" s="53" t="s">
        <v>1591</v>
      </c>
      <c r="AJ368" s="53" t="s">
        <v>1591</v>
      </c>
    </row>
    <row r="369" spans="1:36" s="3" customFormat="1" ht="24" x14ac:dyDescent="0.25">
      <c r="A369" s="35" t="s">
        <v>1823</v>
      </c>
      <c r="B369" s="18" t="s">
        <v>2103</v>
      </c>
      <c r="C369" s="19" t="s">
        <v>3614</v>
      </c>
      <c r="D369" s="43" t="s">
        <v>3615</v>
      </c>
      <c r="E369" s="50" t="s">
        <v>1074</v>
      </c>
      <c r="F369" s="36" t="s">
        <v>1074</v>
      </c>
      <c r="G369" s="51" t="s">
        <v>200</v>
      </c>
      <c r="H369" s="51" t="s">
        <v>200</v>
      </c>
      <c r="I369" s="36" t="s">
        <v>2607</v>
      </c>
      <c r="J369" s="34" t="s">
        <v>3885</v>
      </c>
      <c r="K369" s="37" t="s">
        <v>3886</v>
      </c>
      <c r="L369" s="38">
        <v>42787</v>
      </c>
      <c r="M369" s="39">
        <f>L369+120</f>
        <v>42907</v>
      </c>
      <c r="N369" s="42">
        <v>143355.76</v>
      </c>
      <c r="O369" s="74">
        <v>42907</v>
      </c>
      <c r="P369" s="39">
        <v>0</v>
      </c>
      <c r="Q369" s="41"/>
      <c r="R369" s="51">
        <f t="shared" ref="R369:R375" si="18">N369+Q369</f>
        <v>143355.76</v>
      </c>
      <c r="S369" s="51" t="s">
        <v>200</v>
      </c>
      <c r="T369" s="52" t="s">
        <v>81</v>
      </c>
      <c r="U369" s="51">
        <v>143355.76</v>
      </c>
      <c r="V369" s="51"/>
      <c r="W369" s="42">
        <v>143355.76</v>
      </c>
      <c r="X369" s="42">
        <v>143355.76</v>
      </c>
      <c r="Y369" s="34" t="s">
        <v>3950</v>
      </c>
      <c r="Z369" s="34"/>
      <c r="AA369" s="28"/>
      <c r="AB369" s="56"/>
      <c r="AC369" s="28"/>
      <c r="AD369" s="28"/>
      <c r="AE369" s="54"/>
      <c r="AF369" s="54"/>
      <c r="AG369" s="54"/>
      <c r="AH369" s="53"/>
      <c r="AI369" s="53" t="s">
        <v>1591</v>
      </c>
      <c r="AJ369" s="53" t="s">
        <v>1591</v>
      </c>
    </row>
    <row r="370" spans="1:36" s="3" customFormat="1" ht="24" x14ac:dyDescent="0.25">
      <c r="A370" s="17" t="s">
        <v>1823</v>
      </c>
      <c r="B370" s="18" t="s">
        <v>2103</v>
      </c>
      <c r="C370" s="19" t="s">
        <v>3624</v>
      </c>
      <c r="D370" s="45" t="s">
        <v>3625</v>
      </c>
      <c r="E370" s="50" t="s">
        <v>1074</v>
      </c>
      <c r="F370" s="58">
        <v>0</v>
      </c>
      <c r="G370" s="51" t="s">
        <v>200</v>
      </c>
      <c r="H370" s="51" t="s">
        <v>200</v>
      </c>
      <c r="I370" s="50" t="s">
        <v>2159</v>
      </c>
      <c r="J370" s="58" t="s">
        <v>2251</v>
      </c>
      <c r="K370" s="52" t="s">
        <v>3891</v>
      </c>
      <c r="L370" s="59">
        <v>42814</v>
      </c>
      <c r="M370" s="60">
        <f>L370+60</f>
        <v>42874</v>
      </c>
      <c r="N370" s="51">
        <v>139557.88</v>
      </c>
      <c r="O370" s="59">
        <v>42874</v>
      </c>
      <c r="P370" s="59">
        <v>0</v>
      </c>
      <c r="Q370" s="51"/>
      <c r="R370" s="51">
        <f t="shared" si="18"/>
        <v>139557.88</v>
      </c>
      <c r="S370" s="51" t="s">
        <v>200</v>
      </c>
      <c r="T370" s="52" t="s">
        <v>81</v>
      </c>
      <c r="U370" s="51">
        <v>130198.92</v>
      </c>
      <c r="V370" s="51" t="s">
        <v>200</v>
      </c>
      <c r="W370" s="51">
        <v>130198.92</v>
      </c>
      <c r="X370" s="51">
        <v>130198.92</v>
      </c>
      <c r="Y370" s="19" t="s">
        <v>3952</v>
      </c>
      <c r="Z370" s="19"/>
      <c r="AA370" s="28"/>
      <c r="AB370" s="56"/>
      <c r="AC370" s="28"/>
      <c r="AD370" s="28"/>
      <c r="AE370" s="54"/>
      <c r="AF370" s="54"/>
      <c r="AG370" s="54"/>
      <c r="AH370" s="53"/>
      <c r="AI370" s="53" t="s">
        <v>1591</v>
      </c>
      <c r="AJ370" s="53" t="s">
        <v>1591</v>
      </c>
    </row>
    <row r="371" spans="1:36" s="3" customFormat="1" ht="24" x14ac:dyDescent="0.25">
      <c r="A371" s="17" t="s">
        <v>1823</v>
      </c>
      <c r="B371" s="18" t="s">
        <v>2103</v>
      </c>
      <c r="C371" s="19" t="s">
        <v>3628</v>
      </c>
      <c r="D371" s="45" t="s">
        <v>3629</v>
      </c>
      <c r="E371" s="50" t="s">
        <v>1074</v>
      </c>
      <c r="F371" s="58">
        <v>0</v>
      </c>
      <c r="G371" s="51" t="s">
        <v>200</v>
      </c>
      <c r="H371" s="51" t="s">
        <v>200</v>
      </c>
      <c r="I371" s="50" t="s">
        <v>2098</v>
      </c>
      <c r="J371" s="58" t="s">
        <v>3894</v>
      </c>
      <c r="K371" s="52" t="s">
        <v>3895</v>
      </c>
      <c r="L371" s="59">
        <v>42887</v>
      </c>
      <c r="M371" s="60">
        <f>L371+30</f>
        <v>42917</v>
      </c>
      <c r="N371" s="51">
        <v>130376.14</v>
      </c>
      <c r="O371" s="59">
        <v>42917</v>
      </c>
      <c r="P371" s="59">
        <v>0</v>
      </c>
      <c r="Q371" s="51">
        <v>0.03</v>
      </c>
      <c r="R371" s="51">
        <f t="shared" si="18"/>
        <v>130376.17</v>
      </c>
      <c r="S371" s="51" t="s">
        <v>200</v>
      </c>
      <c r="T371" s="52" t="s">
        <v>81</v>
      </c>
      <c r="U371" s="51">
        <v>130375.34</v>
      </c>
      <c r="V371" s="51" t="s">
        <v>200</v>
      </c>
      <c r="W371" s="51">
        <v>130375.34</v>
      </c>
      <c r="X371" s="51">
        <v>130375.34</v>
      </c>
      <c r="Y371" s="19" t="s">
        <v>3952</v>
      </c>
      <c r="Z371" s="19"/>
      <c r="AA371" s="28"/>
      <c r="AB371" s="56"/>
      <c r="AC371" s="28"/>
      <c r="AD371" s="28"/>
      <c r="AE371" s="54"/>
      <c r="AF371" s="54"/>
      <c r="AG371" s="54"/>
      <c r="AH371" s="53"/>
      <c r="AI371" s="53" t="s">
        <v>1591</v>
      </c>
      <c r="AJ371" s="53" t="s">
        <v>1591</v>
      </c>
    </row>
    <row r="372" spans="1:36" s="3" customFormat="1" ht="60" x14ac:dyDescent="0.25">
      <c r="A372" s="17" t="s">
        <v>1823</v>
      </c>
      <c r="B372" s="18" t="s">
        <v>2103</v>
      </c>
      <c r="C372" s="19" t="s">
        <v>3626</v>
      </c>
      <c r="D372" s="45" t="s">
        <v>3627</v>
      </c>
      <c r="E372" s="50" t="s">
        <v>1074</v>
      </c>
      <c r="F372" s="58">
        <v>0</v>
      </c>
      <c r="G372" s="51" t="s">
        <v>200</v>
      </c>
      <c r="H372" s="51" t="s">
        <v>200</v>
      </c>
      <c r="I372" s="50" t="s">
        <v>2098</v>
      </c>
      <c r="J372" s="58" t="s">
        <v>3892</v>
      </c>
      <c r="K372" s="52" t="s">
        <v>3893</v>
      </c>
      <c r="L372" s="59">
        <v>42884</v>
      </c>
      <c r="M372" s="60">
        <f>L372+60</f>
        <v>42944</v>
      </c>
      <c r="N372" s="51">
        <v>99425.79</v>
      </c>
      <c r="O372" s="59">
        <v>43024</v>
      </c>
      <c r="P372" s="59">
        <f>M372+80</f>
        <v>43024</v>
      </c>
      <c r="Q372" s="51">
        <v>16035.71</v>
      </c>
      <c r="R372" s="51">
        <f t="shared" si="18"/>
        <v>115461.5</v>
      </c>
      <c r="S372" s="51" t="s">
        <v>200</v>
      </c>
      <c r="T372" s="52" t="s">
        <v>81</v>
      </c>
      <c r="U372" s="51">
        <v>115461.43</v>
      </c>
      <c r="V372" s="51">
        <v>29930.13</v>
      </c>
      <c r="W372" s="51">
        <v>115461.43</v>
      </c>
      <c r="X372" s="51">
        <v>115461.43</v>
      </c>
      <c r="Y372" s="19" t="s">
        <v>3952</v>
      </c>
      <c r="Z372" s="19"/>
      <c r="AA372" s="28"/>
      <c r="AB372" s="56"/>
      <c r="AC372" s="28"/>
      <c r="AD372" s="28"/>
      <c r="AE372" s="54"/>
      <c r="AF372" s="54"/>
      <c r="AG372" s="54"/>
      <c r="AH372" s="53"/>
      <c r="AI372" s="53" t="s">
        <v>1591</v>
      </c>
      <c r="AJ372" s="53" t="s">
        <v>1591</v>
      </c>
    </row>
    <row r="373" spans="1:36" s="3" customFormat="1" ht="36" x14ac:dyDescent="0.25">
      <c r="A373" s="17" t="s">
        <v>1823</v>
      </c>
      <c r="B373" s="18" t="s">
        <v>2103</v>
      </c>
      <c r="C373" s="19" t="s">
        <v>3630</v>
      </c>
      <c r="D373" s="45" t="s">
        <v>3631</v>
      </c>
      <c r="E373" s="50" t="s">
        <v>1074</v>
      </c>
      <c r="F373" s="58" t="s">
        <v>1074</v>
      </c>
      <c r="G373" s="51" t="s">
        <v>200</v>
      </c>
      <c r="H373" s="51" t="s">
        <v>200</v>
      </c>
      <c r="I373" s="50" t="s">
        <v>3896</v>
      </c>
      <c r="J373" s="58" t="s">
        <v>2304</v>
      </c>
      <c r="K373" s="52" t="s">
        <v>3897</v>
      </c>
      <c r="L373" s="59">
        <v>42912</v>
      </c>
      <c r="M373" s="60">
        <f>L373+60</f>
        <v>42972</v>
      </c>
      <c r="N373" s="51">
        <v>69125.17</v>
      </c>
      <c r="O373" s="59">
        <v>43047</v>
      </c>
      <c r="P373" s="59">
        <f>M373+75</f>
        <v>43047</v>
      </c>
      <c r="Q373" s="51">
        <v>16817.97</v>
      </c>
      <c r="R373" s="51">
        <f t="shared" si="18"/>
        <v>85943.14</v>
      </c>
      <c r="S373" s="51" t="s">
        <v>200</v>
      </c>
      <c r="T373" s="52" t="s">
        <v>81</v>
      </c>
      <c r="U373" s="51">
        <v>85784.04</v>
      </c>
      <c r="V373" s="51">
        <v>59670.52</v>
      </c>
      <c r="W373" s="51">
        <v>85784.04</v>
      </c>
      <c r="X373" s="51">
        <v>85784.04</v>
      </c>
      <c r="Y373" s="19" t="s">
        <v>3952</v>
      </c>
      <c r="Z373" s="19"/>
      <c r="AA373" s="28"/>
      <c r="AB373" s="56"/>
      <c r="AC373" s="28"/>
      <c r="AD373" s="28"/>
      <c r="AE373" s="54"/>
      <c r="AF373" s="54"/>
      <c r="AG373" s="54"/>
      <c r="AH373" s="53"/>
      <c r="AI373" s="53" t="s">
        <v>1591</v>
      </c>
      <c r="AJ373" s="53" t="s">
        <v>1591</v>
      </c>
    </row>
    <row r="374" spans="1:36" s="3" customFormat="1" ht="48" x14ac:dyDescent="0.25">
      <c r="A374" s="17" t="s">
        <v>1823</v>
      </c>
      <c r="B374" s="18" t="s">
        <v>2103</v>
      </c>
      <c r="C374" s="19" t="s">
        <v>3610</v>
      </c>
      <c r="D374" s="45" t="s">
        <v>3611</v>
      </c>
      <c r="E374" s="50" t="s">
        <v>1074</v>
      </c>
      <c r="F374" s="58" t="s">
        <v>1074</v>
      </c>
      <c r="G374" s="51" t="s">
        <v>200</v>
      </c>
      <c r="H374" s="51" t="s">
        <v>200</v>
      </c>
      <c r="I374" s="50" t="s">
        <v>2299</v>
      </c>
      <c r="J374" s="58" t="s">
        <v>3882</v>
      </c>
      <c r="K374" s="52" t="s">
        <v>3883</v>
      </c>
      <c r="L374" s="59">
        <v>42613</v>
      </c>
      <c r="M374" s="60">
        <f>L374+60</f>
        <v>42673</v>
      </c>
      <c r="N374" s="51">
        <v>64442.52</v>
      </c>
      <c r="O374" s="59">
        <v>42733</v>
      </c>
      <c r="P374" s="59">
        <f>M374+60</f>
        <v>42733</v>
      </c>
      <c r="Q374" s="51">
        <v>3097.16</v>
      </c>
      <c r="R374" s="51">
        <f t="shared" si="18"/>
        <v>67539.679999999993</v>
      </c>
      <c r="S374" s="51" t="s">
        <v>200</v>
      </c>
      <c r="T374" s="52" t="s">
        <v>81</v>
      </c>
      <c r="U374" s="51">
        <v>67539.679999999993</v>
      </c>
      <c r="V374" s="51" t="s">
        <v>200</v>
      </c>
      <c r="W374" s="51">
        <v>3097.16</v>
      </c>
      <c r="X374" s="51">
        <v>67539.679999999993</v>
      </c>
      <c r="Y374" s="19" t="s">
        <v>3950</v>
      </c>
      <c r="Z374" s="19"/>
      <c r="AA374" s="28"/>
      <c r="AB374" s="56"/>
      <c r="AC374" s="28"/>
      <c r="AD374" s="28"/>
      <c r="AE374" s="54"/>
      <c r="AF374" s="54"/>
      <c r="AG374" s="54"/>
      <c r="AH374" s="53"/>
      <c r="AI374" s="53" t="s">
        <v>1591</v>
      </c>
      <c r="AJ374" s="53" t="s">
        <v>1591</v>
      </c>
    </row>
    <row r="375" spans="1:36" s="3" customFormat="1" ht="36" x14ac:dyDescent="0.25">
      <c r="A375" s="17" t="s">
        <v>1823</v>
      </c>
      <c r="B375" s="18" t="s">
        <v>2103</v>
      </c>
      <c r="C375" s="19" t="s">
        <v>3616</v>
      </c>
      <c r="D375" s="45" t="s">
        <v>3617</v>
      </c>
      <c r="E375" s="50" t="s">
        <v>1074</v>
      </c>
      <c r="F375" s="58" t="s">
        <v>1074</v>
      </c>
      <c r="G375" s="51" t="s">
        <v>200</v>
      </c>
      <c r="H375" s="51" t="s">
        <v>200</v>
      </c>
      <c r="I375" s="50" t="s">
        <v>2299</v>
      </c>
      <c r="J375" s="58" t="s">
        <v>3882</v>
      </c>
      <c r="K375" s="52" t="s">
        <v>3887</v>
      </c>
      <c r="L375" s="59">
        <v>42709</v>
      </c>
      <c r="M375" s="60">
        <f>L375+30</f>
        <v>42739</v>
      </c>
      <c r="N375" s="51">
        <v>12764.89</v>
      </c>
      <c r="O375" s="59">
        <v>42739</v>
      </c>
      <c r="P375" s="59">
        <v>0</v>
      </c>
      <c r="Q375" s="51"/>
      <c r="R375" s="51">
        <f t="shared" si="18"/>
        <v>12764.89</v>
      </c>
      <c r="S375" s="51" t="s">
        <v>200</v>
      </c>
      <c r="T375" s="52" t="s">
        <v>81</v>
      </c>
      <c r="U375" s="51">
        <v>12764.88</v>
      </c>
      <c r="V375" s="51" t="s">
        <v>200</v>
      </c>
      <c r="W375" s="51">
        <v>12764.88</v>
      </c>
      <c r="X375" s="51">
        <v>12764.88</v>
      </c>
      <c r="Y375" s="19" t="s">
        <v>3950</v>
      </c>
      <c r="Z375" s="19"/>
      <c r="AA375" s="28"/>
      <c r="AB375" s="56"/>
      <c r="AC375" s="28"/>
      <c r="AD375" s="28"/>
      <c r="AE375" s="54"/>
      <c r="AF375" s="54"/>
      <c r="AG375" s="54"/>
      <c r="AH375" s="53"/>
      <c r="AI375" s="53" t="s">
        <v>1591</v>
      </c>
      <c r="AJ375" s="53" t="s">
        <v>1591</v>
      </c>
    </row>
    <row r="376" spans="1:36" s="3" customFormat="1" ht="48" x14ac:dyDescent="0.25">
      <c r="A376" s="17" t="s">
        <v>1823</v>
      </c>
      <c r="B376" s="18" t="s">
        <v>1451</v>
      </c>
      <c r="C376" s="76" t="s">
        <v>6379</v>
      </c>
      <c r="D376" s="45" t="s">
        <v>6380</v>
      </c>
      <c r="E376" s="78" t="s">
        <v>6381</v>
      </c>
      <c r="F376" s="79" t="s">
        <v>6382</v>
      </c>
      <c r="G376" s="80">
        <v>25869454.66</v>
      </c>
      <c r="H376" s="80">
        <v>3244388.1</v>
      </c>
      <c r="I376" s="78" t="s">
        <v>6383</v>
      </c>
      <c r="J376" s="79" t="s">
        <v>6384</v>
      </c>
      <c r="K376" s="81" t="s">
        <v>6385</v>
      </c>
      <c r="L376" s="82">
        <v>41816</v>
      </c>
      <c r="M376" s="83">
        <v>42356</v>
      </c>
      <c r="N376" s="80">
        <v>83188039.060000002</v>
      </c>
      <c r="O376" s="82">
        <v>42247</v>
      </c>
      <c r="P376" s="84" t="s">
        <v>46</v>
      </c>
      <c r="Q376" s="80">
        <v>0</v>
      </c>
      <c r="R376" s="80">
        <v>83188039.060000002</v>
      </c>
      <c r="S376" s="80" t="s">
        <v>200</v>
      </c>
      <c r="T376" s="81" t="s">
        <v>52</v>
      </c>
      <c r="U376" s="80"/>
      <c r="V376" s="80"/>
      <c r="W376" s="80"/>
      <c r="X376" s="80">
        <v>15087735.43</v>
      </c>
      <c r="Y376" s="76" t="s">
        <v>157</v>
      </c>
      <c r="Z376" s="19" t="s">
        <v>7038</v>
      </c>
      <c r="AA376" s="28" t="s">
        <v>7382</v>
      </c>
      <c r="AB376" s="56">
        <v>43413</v>
      </c>
      <c r="AC376" s="28" t="s">
        <v>7383</v>
      </c>
      <c r="AD376" s="28" t="s">
        <v>7384</v>
      </c>
      <c r="AE376" s="54" t="s">
        <v>7385</v>
      </c>
      <c r="AF376" s="54"/>
      <c r="AG376" s="54" t="s">
        <v>7386</v>
      </c>
      <c r="AH376" s="53" t="s">
        <v>1591</v>
      </c>
      <c r="AI376" s="53" t="s">
        <v>2686</v>
      </c>
      <c r="AJ376" s="53" t="s">
        <v>1591</v>
      </c>
    </row>
    <row r="377" spans="1:36" s="3" customFormat="1" ht="60" x14ac:dyDescent="0.25">
      <c r="A377" s="17" t="s">
        <v>1823</v>
      </c>
      <c r="B377" s="18" t="s">
        <v>1451</v>
      </c>
      <c r="C377" s="76" t="s">
        <v>6386</v>
      </c>
      <c r="D377" s="45" t="s">
        <v>6387</v>
      </c>
      <c r="E377" s="78" t="s">
        <v>6388</v>
      </c>
      <c r="F377" s="79" t="s">
        <v>6389</v>
      </c>
      <c r="G377" s="80">
        <v>4009696.9</v>
      </c>
      <c r="H377" s="80">
        <v>26481393.5</v>
      </c>
      <c r="I377" s="78" t="s">
        <v>6390</v>
      </c>
      <c r="J377" s="79" t="s">
        <v>6391</v>
      </c>
      <c r="K377" s="81" t="s">
        <v>6392</v>
      </c>
      <c r="L377" s="82">
        <v>41052</v>
      </c>
      <c r="M377" s="83">
        <v>41592</v>
      </c>
      <c r="N377" s="80">
        <v>42788258.140000001</v>
      </c>
      <c r="O377" s="82">
        <v>41946</v>
      </c>
      <c r="P377" s="84">
        <v>365</v>
      </c>
      <c r="Q377" s="80">
        <v>10625730.880000003</v>
      </c>
      <c r="R377" s="80">
        <v>53413989.020000003</v>
      </c>
      <c r="S377" s="80">
        <v>1604909.3</v>
      </c>
      <c r="T377" s="81" t="s">
        <v>52</v>
      </c>
      <c r="U377" s="80"/>
      <c r="V377" s="80"/>
      <c r="W377" s="80"/>
      <c r="X377" s="80">
        <v>16977221.370000001</v>
      </c>
      <c r="Y377" s="76" t="s">
        <v>157</v>
      </c>
      <c r="Z377" s="19" t="s">
        <v>7038</v>
      </c>
      <c r="AA377" s="28" t="s">
        <v>7382</v>
      </c>
      <c r="AB377" s="56">
        <v>43413</v>
      </c>
      <c r="AC377" s="28" t="s">
        <v>7383</v>
      </c>
      <c r="AD377" s="28" t="s">
        <v>7384</v>
      </c>
      <c r="AE377" s="54" t="s">
        <v>7387</v>
      </c>
      <c r="AF377" s="54"/>
      <c r="AG377" s="54" t="s">
        <v>7388</v>
      </c>
      <c r="AH377" s="53" t="s">
        <v>1591</v>
      </c>
      <c r="AI377" s="53" t="s">
        <v>2686</v>
      </c>
      <c r="AJ377" s="53" t="s">
        <v>1591</v>
      </c>
    </row>
    <row r="378" spans="1:36" s="3" customFormat="1" ht="72" x14ac:dyDescent="0.25">
      <c r="A378" s="17" t="s">
        <v>1823</v>
      </c>
      <c r="B378" s="18" t="s">
        <v>1451</v>
      </c>
      <c r="C378" s="76" t="s">
        <v>6393</v>
      </c>
      <c r="D378" s="45" t="s">
        <v>6394</v>
      </c>
      <c r="E378" s="78" t="s">
        <v>6395</v>
      </c>
      <c r="F378" s="79" t="s">
        <v>6389</v>
      </c>
      <c r="G378" s="80">
        <v>28468161.09</v>
      </c>
      <c r="H378" s="80">
        <v>6611794.5599999996</v>
      </c>
      <c r="I378" s="78" t="s">
        <v>6396</v>
      </c>
      <c r="J378" s="79" t="s">
        <v>6397</v>
      </c>
      <c r="K378" s="81" t="s">
        <v>6398</v>
      </c>
      <c r="L378" s="82">
        <v>40702</v>
      </c>
      <c r="M378" s="83">
        <v>41248</v>
      </c>
      <c r="N378" s="80">
        <v>24559268.280000001</v>
      </c>
      <c r="O378" s="82">
        <v>42263</v>
      </c>
      <c r="P378" s="84">
        <v>1001</v>
      </c>
      <c r="Q378" s="80">
        <v>10521122.939999998</v>
      </c>
      <c r="R378" s="80">
        <v>35080391.219999999</v>
      </c>
      <c r="S378" s="80">
        <v>1964609.27</v>
      </c>
      <c r="T378" s="81" t="s">
        <v>52</v>
      </c>
      <c r="U378" s="80"/>
      <c r="V378" s="80"/>
      <c r="W378" s="80"/>
      <c r="X378" s="80">
        <v>34030351.829999998</v>
      </c>
      <c r="Y378" s="76" t="s">
        <v>498</v>
      </c>
      <c r="Z378" s="19" t="s">
        <v>7038</v>
      </c>
      <c r="AA378" s="28" t="s">
        <v>7382</v>
      </c>
      <c r="AB378" s="56">
        <v>43413</v>
      </c>
      <c r="AC378" s="28" t="s">
        <v>7383</v>
      </c>
      <c r="AD378" s="28" t="s">
        <v>7384</v>
      </c>
      <c r="AE378" s="54" t="s">
        <v>7389</v>
      </c>
      <c r="AF378" s="54"/>
      <c r="AG378" s="54" t="s">
        <v>7390</v>
      </c>
      <c r="AH378" s="53" t="s">
        <v>1591</v>
      </c>
      <c r="AI378" s="53" t="s">
        <v>2686</v>
      </c>
      <c r="AJ378" s="53" t="s">
        <v>1591</v>
      </c>
    </row>
    <row r="379" spans="1:36" s="3" customFormat="1" ht="60" x14ac:dyDescent="0.25">
      <c r="A379" s="17" t="s">
        <v>1823</v>
      </c>
      <c r="B379" s="18" t="s">
        <v>1451</v>
      </c>
      <c r="C379" s="76" t="s">
        <v>6399</v>
      </c>
      <c r="D379" s="45" t="s">
        <v>6400</v>
      </c>
      <c r="E379" s="78" t="s">
        <v>6401</v>
      </c>
      <c r="F379" s="79" t="s">
        <v>1471</v>
      </c>
      <c r="G379" s="80">
        <v>11151591.720000001</v>
      </c>
      <c r="H379" s="80">
        <v>23087252.989999998</v>
      </c>
      <c r="I379" s="78" t="s">
        <v>6402</v>
      </c>
      <c r="J379" s="79" t="s">
        <v>6403</v>
      </c>
      <c r="K379" s="81" t="s">
        <v>6404</v>
      </c>
      <c r="L379" s="82">
        <v>41305</v>
      </c>
      <c r="M379" s="83">
        <v>42400</v>
      </c>
      <c r="N379" s="80">
        <v>34238475.549999997</v>
      </c>
      <c r="O379" s="82"/>
      <c r="P379" s="84">
        <v>404</v>
      </c>
      <c r="Q379" s="80">
        <v>-2656152.1700000018</v>
      </c>
      <c r="R379" s="80">
        <v>31582323.379999995</v>
      </c>
      <c r="S379" s="80">
        <v>607215.34</v>
      </c>
      <c r="T379" s="81" t="s">
        <v>52</v>
      </c>
      <c r="U379" s="80">
        <v>2909365.42</v>
      </c>
      <c r="V379" s="80"/>
      <c r="W379" s="80"/>
      <c r="X379" s="80">
        <v>16144011.85</v>
      </c>
      <c r="Y379" s="76" t="s">
        <v>175</v>
      </c>
      <c r="Z379" s="19" t="s">
        <v>7038</v>
      </c>
      <c r="AA379" s="28" t="s">
        <v>7382</v>
      </c>
      <c r="AB379" s="56">
        <v>43413</v>
      </c>
      <c r="AC379" s="28" t="s">
        <v>7383</v>
      </c>
      <c r="AD379" s="28" t="s">
        <v>7384</v>
      </c>
      <c r="AE379" s="54" t="s">
        <v>7391</v>
      </c>
      <c r="AF379" s="54"/>
      <c r="AG379" s="54" t="s">
        <v>186</v>
      </c>
      <c r="AH379" s="53" t="s">
        <v>1591</v>
      </c>
      <c r="AI379" s="53" t="s">
        <v>2686</v>
      </c>
      <c r="AJ379" s="53" t="s">
        <v>1591</v>
      </c>
    </row>
    <row r="380" spans="1:36" s="3" customFormat="1" ht="60" x14ac:dyDescent="0.25">
      <c r="A380" s="17" t="s">
        <v>1823</v>
      </c>
      <c r="B380" s="18" t="s">
        <v>1451</v>
      </c>
      <c r="C380" s="76" t="s">
        <v>6405</v>
      </c>
      <c r="D380" s="45" t="s">
        <v>6406</v>
      </c>
      <c r="E380" s="78" t="s">
        <v>6407</v>
      </c>
      <c r="F380" s="79" t="s">
        <v>1471</v>
      </c>
      <c r="G380" s="80">
        <v>27215304.5</v>
      </c>
      <c r="H380" s="80" t="s">
        <v>200</v>
      </c>
      <c r="I380" s="78" t="s">
        <v>5966</v>
      </c>
      <c r="J380" s="79" t="s">
        <v>5967</v>
      </c>
      <c r="K380" s="81" t="s">
        <v>6408</v>
      </c>
      <c r="L380" s="82">
        <v>42522</v>
      </c>
      <c r="M380" s="83">
        <v>42882</v>
      </c>
      <c r="N380" s="80">
        <v>27483358.91</v>
      </c>
      <c r="O380" s="82"/>
      <c r="P380" s="84" t="s">
        <v>46</v>
      </c>
      <c r="Q380" s="80">
        <v>-268054.39999999851</v>
      </c>
      <c r="R380" s="80">
        <v>27215304.510000002</v>
      </c>
      <c r="S380" s="80" t="s">
        <v>200</v>
      </c>
      <c r="T380" s="81" t="s">
        <v>52</v>
      </c>
      <c r="U380" s="80">
        <v>545008.81999999995</v>
      </c>
      <c r="V380" s="80"/>
      <c r="W380" s="80"/>
      <c r="X380" s="80">
        <v>545008.81999999995</v>
      </c>
      <c r="Y380" s="76" t="s">
        <v>175</v>
      </c>
      <c r="Z380" s="19" t="s">
        <v>7038</v>
      </c>
      <c r="AA380" s="28" t="s">
        <v>7382</v>
      </c>
      <c r="AB380" s="56">
        <v>43413</v>
      </c>
      <c r="AC380" s="28" t="s">
        <v>7383</v>
      </c>
      <c r="AD380" s="28" t="s">
        <v>7384</v>
      </c>
      <c r="AE380" s="54" t="s">
        <v>7391</v>
      </c>
      <c r="AF380" s="54"/>
      <c r="AG380" s="54" t="s">
        <v>186</v>
      </c>
      <c r="AH380" s="53" t="s">
        <v>1591</v>
      </c>
      <c r="AI380" s="53" t="s">
        <v>2686</v>
      </c>
      <c r="AJ380" s="53" t="s">
        <v>1591</v>
      </c>
    </row>
    <row r="381" spans="1:36" s="3" customFormat="1" ht="48" x14ac:dyDescent="0.25">
      <c r="A381" s="17" t="s">
        <v>1823</v>
      </c>
      <c r="B381" s="18" t="s">
        <v>1451</v>
      </c>
      <c r="C381" s="76" t="s">
        <v>6411</v>
      </c>
      <c r="D381" s="45" t="s">
        <v>6412</v>
      </c>
      <c r="E381" s="78"/>
      <c r="F381" s="79"/>
      <c r="G381" s="80"/>
      <c r="H381" s="80"/>
      <c r="I381" s="78" t="s">
        <v>6413</v>
      </c>
      <c r="J381" s="79" t="s">
        <v>6414</v>
      </c>
      <c r="K381" s="81" t="s">
        <v>6415</v>
      </c>
      <c r="L381" s="82">
        <v>42331</v>
      </c>
      <c r="M381" s="83">
        <v>42691</v>
      </c>
      <c r="N381" s="80">
        <v>18473956.73</v>
      </c>
      <c r="O381" s="82">
        <v>42552</v>
      </c>
      <c r="P381" s="84" t="s">
        <v>46</v>
      </c>
      <c r="Q381" s="80">
        <v>0</v>
      </c>
      <c r="R381" s="80">
        <v>18473956.73</v>
      </c>
      <c r="S381" s="80">
        <v>10578.98</v>
      </c>
      <c r="T381" s="81" t="s">
        <v>52</v>
      </c>
      <c r="U381" s="80">
        <v>226124.79</v>
      </c>
      <c r="V381" s="80"/>
      <c r="W381" s="80"/>
      <c r="X381" s="80">
        <v>250377.01</v>
      </c>
      <c r="Y381" s="76" t="s">
        <v>157</v>
      </c>
      <c r="Z381" s="19" t="s">
        <v>7038</v>
      </c>
      <c r="AA381" s="28" t="s">
        <v>7382</v>
      </c>
      <c r="AB381" s="56">
        <v>43413</v>
      </c>
      <c r="AC381" s="28" t="s">
        <v>7383</v>
      </c>
      <c r="AD381" s="28" t="s">
        <v>7384</v>
      </c>
      <c r="AE381" s="54" t="s">
        <v>7385</v>
      </c>
      <c r="AF381" s="54"/>
      <c r="AG381" s="54" t="s">
        <v>7386</v>
      </c>
      <c r="AH381" s="53" t="s">
        <v>1591</v>
      </c>
      <c r="AI381" s="53" t="s">
        <v>2686</v>
      </c>
      <c r="AJ381" s="53" t="s">
        <v>1591</v>
      </c>
    </row>
    <row r="382" spans="1:36" s="3" customFormat="1" ht="48" x14ac:dyDescent="0.25">
      <c r="A382" s="17" t="s">
        <v>1823</v>
      </c>
      <c r="B382" s="18" t="s">
        <v>1451</v>
      </c>
      <c r="C382" s="76" t="s">
        <v>6416</v>
      </c>
      <c r="D382" s="45" t="s">
        <v>6417</v>
      </c>
      <c r="E382" s="78"/>
      <c r="F382" s="79"/>
      <c r="G382" s="80"/>
      <c r="H382" s="80"/>
      <c r="I382" s="78" t="s">
        <v>6418</v>
      </c>
      <c r="J382" s="79" t="s">
        <v>6419</v>
      </c>
      <c r="K382" s="81" t="s">
        <v>6420</v>
      </c>
      <c r="L382" s="82">
        <v>42332</v>
      </c>
      <c r="M382" s="83">
        <v>42697</v>
      </c>
      <c r="N382" s="80">
        <v>13182265.09</v>
      </c>
      <c r="O382" s="82"/>
      <c r="P382" s="84" t="s">
        <v>46</v>
      </c>
      <c r="Q382" s="80">
        <v>0</v>
      </c>
      <c r="R382" s="80">
        <v>13182265.09</v>
      </c>
      <c r="S382" s="80" t="s">
        <v>200</v>
      </c>
      <c r="T382" s="81" t="s">
        <v>52</v>
      </c>
      <c r="U382" s="80">
        <v>694148.34</v>
      </c>
      <c r="V382" s="80"/>
      <c r="W382" s="80"/>
      <c r="X382" s="80">
        <v>694148.34</v>
      </c>
      <c r="Y382" s="76" t="s">
        <v>175</v>
      </c>
      <c r="Z382" s="19" t="s">
        <v>7038</v>
      </c>
      <c r="AA382" s="28" t="s">
        <v>7382</v>
      </c>
      <c r="AB382" s="56">
        <v>43413</v>
      </c>
      <c r="AC382" s="28" t="s">
        <v>7383</v>
      </c>
      <c r="AD382" s="28" t="s">
        <v>7384</v>
      </c>
      <c r="AE382" s="54" t="s">
        <v>7385</v>
      </c>
      <c r="AF382" s="54"/>
      <c r="AG382" s="54" t="s">
        <v>7386</v>
      </c>
      <c r="AH382" s="53" t="s">
        <v>1591</v>
      </c>
      <c r="AI382" s="53" t="s">
        <v>2686</v>
      </c>
      <c r="AJ382" s="53" t="s">
        <v>1591</v>
      </c>
    </row>
    <row r="383" spans="1:36" s="3" customFormat="1" ht="36" x14ac:dyDescent="0.25">
      <c r="A383" s="17" t="s">
        <v>1823</v>
      </c>
      <c r="B383" s="18" t="s">
        <v>1451</v>
      </c>
      <c r="C383" s="76" t="s">
        <v>6421</v>
      </c>
      <c r="D383" s="45" t="s">
        <v>6422</v>
      </c>
      <c r="E383" s="78"/>
      <c r="F383" s="79"/>
      <c r="G383" s="80"/>
      <c r="H383" s="80"/>
      <c r="I383" s="78" t="s">
        <v>5966</v>
      </c>
      <c r="J383" s="79" t="s">
        <v>5967</v>
      </c>
      <c r="K383" s="81" t="s">
        <v>2102</v>
      </c>
      <c r="L383" s="82">
        <v>42598</v>
      </c>
      <c r="M383" s="83">
        <v>42958</v>
      </c>
      <c r="N383" s="80">
        <v>11380000.02</v>
      </c>
      <c r="O383" s="82"/>
      <c r="P383" s="84" t="s">
        <v>46</v>
      </c>
      <c r="Q383" s="80">
        <v>0</v>
      </c>
      <c r="R383" s="80">
        <v>11380000.02</v>
      </c>
      <c r="S383" s="80" t="s">
        <v>200</v>
      </c>
      <c r="T383" s="81" t="s">
        <v>52</v>
      </c>
      <c r="U383" s="80">
        <v>201917.9</v>
      </c>
      <c r="V383" s="80"/>
      <c r="W383" s="80"/>
      <c r="X383" s="80">
        <v>201917.9</v>
      </c>
      <c r="Y383" s="76" t="s">
        <v>175</v>
      </c>
      <c r="Z383" s="19" t="s">
        <v>7038</v>
      </c>
      <c r="AA383" s="28" t="s">
        <v>7382</v>
      </c>
      <c r="AB383" s="56">
        <v>43413</v>
      </c>
      <c r="AC383" s="28" t="s">
        <v>7383</v>
      </c>
      <c r="AD383" s="28" t="s">
        <v>7384</v>
      </c>
      <c r="AE383" s="54" t="s">
        <v>7392</v>
      </c>
      <c r="AF383" s="54"/>
      <c r="AG383" s="54" t="s">
        <v>7393</v>
      </c>
      <c r="AH383" s="53" t="s">
        <v>1591</v>
      </c>
      <c r="AI383" s="53" t="s">
        <v>2686</v>
      </c>
      <c r="AJ383" s="53" t="s">
        <v>1591</v>
      </c>
    </row>
    <row r="384" spans="1:36" s="3" customFormat="1" ht="60" x14ac:dyDescent="0.25">
      <c r="A384" s="17" t="s">
        <v>1823</v>
      </c>
      <c r="B384" s="18" t="s">
        <v>1451</v>
      </c>
      <c r="C384" s="76" t="s">
        <v>6423</v>
      </c>
      <c r="D384" s="45" t="s">
        <v>6424</v>
      </c>
      <c r="E384" s="78" t="s">
        <v>6409</v>
      </c>
      <c r="F384" s="79" t="s">
        <v>2096</v>
      </c>
      <c r="G384" s="80">
        <v>4924489.76</v>
      </c>
      <c r="H384" s="80">
        <v>4367000.3499999996</v>
      </c>
      <c r="I384" s="78" t="s">
        <v>6425</v>
      </c>
      <c r="J384" s="79" t="s">
        <v>6426</v>
      </c>
      <c r="K384" s="81" t="s">
        <v>6427</v>
      </c>
      <c r="L384" s="82">
        <v>41824</v>
      </c>
      <c r="M384" s="83">
        <v>42124</v>
      </c>
      <c r="N384" s="80">
        <v>9291485.6400000006</v>
      </c>
      <c r="O384" s="82"/>
      <c r="P384" s="84">
        <v>608</v>
      </c>
      <c r="Q384" s="80">
        <v>983813.66999999993</v>
      </c>
      <c r="R384" s="80">
        <v>10275299.310000001</v>
      </c>
      <c r="S384" s="80">
        <v>138884.21</v>
      </c>
      <c r="T384" s="81" t="s">
        <v>52</v>
      </c>
      <c r="U384" s="80">
        <v>1040888.01</v>
      </c>
      <c r="V384" s="80"/>
      <c r="W384" s="80"/>
      <c r="X384" s="80">
        <v>5857727.4199999999</v>
      </c>
      <c r="Y384" s="76" t="s">
        <v>175</v>
      </c>
      <c r="Z384" s="19" t="s">
        <v>7038</v>
      </c>
      <c r="AA384" s="28" t="s">
        <v>7382</v>
      </c>
      <c r="AB384" s="56">
        <v>43413</v>
      </c>
      <c r="AC384" s="28" t="s">
        <v>7383</v>
      </c>
      <c r="AD384" s="28" t="s">
        <v>7384</v>
      </c>
      <c r="AE384" s="54" t="s">
        <v>7391</v>
      </c>
      <c r="AF384" s="54"/>
      <c r="AG384" s="54" t="s">
        <v>1622</v>
      </c>
      <c r="AH384" s="53" t="s">
        <v>1591</v>
      </c>
      <c r="AI384" s="53" t="s">
        <v>2686</v>
      </c>
      <c r="AJ384" s="53" t="s">
        <v>1591</v>
      </c>
    </row>
    <row r="385" spans="1:36" s="3" customFormat="1" ht="36" x14ac:dyDescent="0.25">
      <c r="A385" s="17" t="s">
        <v>1823</v>
      </c>
      <c r="B385" s="18" t="s">
        <v>1451</v>
      </c>
      <c r="C385" s="76" t="s">
        <v>6428</v>
      </c>
      <c r="D385" s="45" t="s">
        <v>6429</v>
      </c>
      <c r="E385" s="78" t="s">
        <v>6430</v>
      </c>
      <c r="F385" s="79" t="s">
        <v>6382</v>
      </c>
      <c r="G385" s="80">
        <v>7394257.0499999998</v>
      </c>
      <c r="H385" s="80">
        <v>2396771.15</v>
      </c>
      <c r="I385" s="78" t="s">
        <v>892</v>
      </c>
      <c r="J385" s="79" t="s">
        <v>2021</v>
      </c>
      <c r="K385" s="81" t="s">
        <v>6431</v>
      </c>
      <c r="L385" s="82">
        <v>40498</v>
      </c>
      <c r="M385" s="83">
        <v>41228</v>
      </c>
      <c r="N385" s="80">
        <v>9242825.1199999992</v>
      </c>
      <c r="O385" s="82">
        <v>41709</v>
      </c>
      <c r="P385" s="84">
        <v>480</v>
      </c>
      <c r="Q385" s="80">
        <v>548203.08000000007</v>
      </c>
      <c r="R385" s="80">
        <v>9791028.1999999993</v>
      </c>
      <c r="S385" s="80">
        <v>341905.11</v>
      </c>
      <c r="T385" s="81" t="s">
        <v>52</v>
      </c>
      <c r="U385" s="80"/>
      <c r="V385" s="80"/>
      <c r="W385" s="80"/>
      <c r="X385" s="80">
        <v>8300615.7999999998</v>
      </c>
      <c r="Y385" s="76" t="s">
        <v>498</v>
      </c>
      <c r="Z385" s="19" t="s">
        <v>7038</v>
      </c>
      <c r="AA385" s="28" t="s">
        <v>7382</v>
      </c>
      <c r="AB385" s="56">
        <v>43413</v>
      </c>
      <c r="AC385" s="28" t="s">
        <v>7383</v>
      </c>
      <c r="AD385" s="28" t="s">
        <v>7384</v>
      </c>
      <c r="AE385" s="54" t="s">
        <v>7394</v>
      </c>
      <c r="AF385" s="54"/>
      <c r="AG385" s="54" t="s">
        <v>7395</v>
      </c>
      <c r="AH385" s="53" t="s">
        <v>1591</v>
      </c>
      <c r="AI385" s="53" t="s">
        <v>2686</v>
      </c>
      <c r="AJ385" s="53" t="s">
        <v>1591</v>
      </c>
    </row>
    <row r="386" spans="1:36" s="3" customFormat="1" ht="36" x14ac:dyDescent="0.25">
      <c r="A386" s="17" t="s">
        <v>1823</v>
      </c>
      <c r="B386" s="18" t="s">
        <v>1451</v>
      </c>
      <c r="C386" s="76" t="s">
        <v>6433</v>
      </c>
      <c r="D386" s="45" t="s">
        <v>6434</v>
      </c>
      <c r="E386" s="78"/>
      <c r="F386" s="79"/>
      <c r="G386" s="80"/>
      <c r="H386" s="80"/>
      <c r="I386" s="78" t="s">
        <v>2100</v>
      </c>
      <c r="J386" s="79" t="s">
        <v>6432</v>
      </c>
      <c r="K386" s="81" t="s">
        <v>6435</v>
      </c>
      <c r="L386" s="82">
        <v>41698</v>
      </c>
      <c r="M386" s="83">
        <v>41818</v>
      </c>
      <c r="N386" s="80">
        <v>3275569.37</v>
      </c>
      <c r="O386" s="82">
        <v>41806</v>
      </c>
      <c r="P386" s="84" t="s">
        <v>46</v>
      </c>
      <c r="Q386" s="80">
        <v>-2.9999999795109034E-2</v>
      </c>
      <c r="R386" s="80">
        <v>3275569.3400000003</v>
      </c>
      <c r="S386" s="80" t="s">
        <v>200</v>
      </c>
      <c r="T386" s="81" t="s">
        <v>52</v>
      </c>
      <c r="U386" s="80"/>
      <c r="V386" s="80"/>
      <c r="W386" s="80"/>
      <c r="X386" s="80">
        <v>1699808.09</v>
      </c>
      <c r="Y386" s="76" t="s">
        <v>157</v>
      </c>
      <c r="Z386" s="19" t="s">
        <v>7038</v>
      </c>
      <c r="AA386" s="28" t="s">
        <v>7382</v>
      </c>
      <c r="AB386" s="56">
        <v>43413</v>
      </c>
      <c r="AC386" s="28" t="s">
        <v>7383</v>
      </c>
      <c r="AD386" s="28" t="s">
        <v>7384</v>
      </c>
      <c r="AE386" s="54" t="s">
        <v>7396</v>
      </c>
      <c r="AF386" s="54"/>
      <c r="AG386" s="54" t="s">
        <v>7397</v>
      </c>
      <c r="AH386" s="53" t="s">
        <v>1591</v>
      </c>
      <c r="AI386" s="53" t="s">
        <v>2686</v>
      </c>
      <c r="AJ386" s="53" t="s">
        <v>1591</v>
      </c>
    </row>
    <row r="387" spans="1:36" s="3" customFormat="1" ht="36" x14ac:dyDescent="0.25">
      <c r="A387" s="17" t="s">
        <v>1823</v>
      </c>
      <c r="B387" s="18" t="s">
        <v>1451</v>
      </c>
      <c r="C387" s="76" t="s">
        <v>6410</v>
      </c>
      <c r="D387" s="45" t="s">
        <v>6436</v>
      </c>
      <c r="E387" s="78" t="s">
        <v>6437</v>
      </c>
      <c r="F387" s="79" t="s">
        <v>1471</v>
      </c>
      <c r="G387" s="80">
        <v>1175640.8799999999</v>
      </c>
      <c r="H387" s="80">
        <v>1462099.48</v>
      </c>
      <c r="I387" s="78" t="s">
        <v>6418</v>
      </c>
      <c r="J387" s="79" t="s">
        <v>6419</v>
      </c>
      <c r="K387" s="81" t="s">
        <v>6438</v>
      </c>
      <c r="L387" s="82">
        <v>41197</v>
      </c>
      <c r="M387" s="83">
        <v>41737</v>
      </c>
      <c r="N387" s="80">
        <v>2630568.11</v>
      </c>
      <c r="O387" s="82"/>
      <c r="P387" s="84">
        <v>935</v>
      </c>
      <c r="Q387" s="80">
        <v>7172.25</v>
      </c>
      <c r="R387" s="80">
        <v>2637740.36</v>
      </c>
      <c r="S387" s="80">
        <v>88060.44</v>
      </c>
      <c r="T387" s="81" t="s">
        <v>52</v>
      </c>
      <c r="U387" s="80">
        <v>357942</v>
      </c>
      <c r="V387" s="80"/>
      <c r="W387" s="80"/>
      <c r="X387" s="80">
        <v>2095867.19</v>
      </c>
      <c r="Y387" s="76" t="s">
        <v>149</v>
      </c>
      <c r="Z387" s="19" t="s">
        <v>7038</v>
      </c>
      <c r="AA387" s="28" t="s">
        <v>7382</v>
      </c>
      <c r="AB387" s="56">
        <v>43413</v>
      </c>
      <c r="AC387" s="28" t="s">
        <v>7383</v>
      </c>
      <c r="AD387" s="28" t="s">
        <v>7384</v>
      </c>
      <c r="AE387" s="54" t="s">
        <v>7398</v>
      </c>
      <c r="AF387" s="54"/>
      <c r="AG387" s="54"/>
      <c r="AH387" s="53" t="s">
        <v>1591</v>
      </c>
      <c r="AI387" s="53" t="s">
        <v>2686</v>
      </c>
      <c r="AJ387" s="53" t="s">
        <v>1591</v>
      </c>
    </row>
    <row r="388" spans="1:36" s="3" customFormat="1" ht="48" x14ac:dyDescent="0.25">
      <c r="A388" s="17" t="s">
        <v>1823</v>
      </c>
      <c r="B388" s="18" t="s">
        <v>1451</v>
      </c>
      <c r="C388" s="76" t="s">
        <v>6440</v>
      </c>
      <c r="D388" s="45" t="s">
        <v>6441</v>
      </c>
      <c r="E388" s="78" t="s">
        <v>6409</v>
      </c>
      <c r="F388" s="79" t="s">
        <v>2096</v>
      </c>
      <c r="G388" s="80">
        <v>640097.24</v>
      </c>
      <c r="H388" s="80">
        <v>567633.38</v>
      </c>
      <c r="I388" s="78" t="s">
        <v>6442</v>
      </c>
      <c r="J388" s="79" t="s">
        <v>6443</v>
      </c>
      <c r="K388" s="81" t="s">
        <v>6444</v>
      </c>
      <c r="L388" s="82">
        <v>42353</v>
      </c>
      <c r="M388" s="83">
        <v>42780</v>
      </c>
      <c r="N388" s="80">
        <v>2415461.2400000002</v>
      </c>
      <c r="O388" s="82">
        <v>42555</v>
      </c>
      <c r="P388" s="84" t="s">
        <v>46</v>
      </c>
      <c r="Q388" s="80">
        <v>0</v>
      </c>
      <c r="R388" s="80">
        <v>2415461.2400000002</v>
      </c>
      <c r="S388" s="80" t="s">
        <v>200</v>
      </c>
      <c r="T388" s="81" t="s">
        <v>52</v>
      </c>
      <c r="U388" s="80">
        <v>338164.54</v>
      </c>
      <c r="V388" s="80"/>
      <c r="W388" s="80"/>
      <c r="X388" s="80">
        <v>338164.54</v>
      </c>
      <c r="Y388" s="76" t="s">
        <v>157</v>
      </c>
      <c r="Z388" s="19" t="s">
        <v>7038</v>
      </c>
      <c r="AA388" s="28" t="s">
        <v>7382</v>
      </c>
      <c r="AB388" s="56">
        <v>43413</v>
      </c>
      <c r="AC388" s="28" t="s">
        <v>7383</v>
      </c>
      <c r="AD388" s="28" t="s">
        <v>7384</v>
      </c>
      <c r="AE388" s="54" t="s">
        <v>7399</v>
      </c>
      <c r="AF388" s="54"/>
      <c r="AG388" s="54" t="s">
        <v>4806</v>
      </c>
      <c r="AH388" s="53" t="s">
        <v>1591</v>
      </c>
      <c r="AI388" s="53" t="s">
        <v>2686</v>
      </c>
      <c r="AJ388" s="53" t="s">
        <v>1591</v>
      </c>
    </row>
    <row r="389" spans="1:36" s="3" customFormat="1" ht="36" x14ac:dyDescent="0.25">
      <c r="A389" s="17" t="s">
        <v>1823</v>
      </c>
      <c r="B389" s="18" t="s">
        <v>1451</v>
      </c>
      <c r="C389" s="76" t="s">
        <v>6445</v>
      </c>
      <c r="D389" s="45" t="s">
        <v>6446</v>
      </c>
      <c r="E389" s="78"/>
      <c r="F389" s="79"/>
      <c r="G389" s="80"/>
      <c r="H389" s="80"/>
      <c r="I389" s="78" t="s">
        <v>2099</v>
      </c>
      <c r="J389" s="79" t="s">
        <v>6447</v>
      </c>
      <c r="K389" s="81" t="s">
        <v>5710</v>
      </c>
      <c r="L389" s="82">
        <v>41695</v>
      </c>
      <c r="M389" s="83">
        <v>41935</v>
      </c>
      <c r="N389" s="80">
        <v>1288686.18</v>
      </c>
      <c r="O389" s="82">
        <v>42091</v>
      </c>
      <c r="P389" s="84">
        <v>151</v>
      </c>
      <c r="Q389" s="80">
        <v>175345.49</v>
      </c>
      <c r="R389" s="80">
        <v>1464031.67</v>
      </c>
      <c r="S389" s="80" t="s">
        <v>200</v>
      </c>
      <c r="T389" s="81" t="s">
        <v>52</v>
      </c>
      <c r="U389" s="80"/>
      <c r="V389" s="80"/>
      <c r="W389" s="80"/>
      <c r="X389" s="80">
        <v>1291045.02</v>
      </c>
      <c r="Y389" s="76" t="s">
        <v>149</v>
      </c>
      <c r="Z389" s="19" t="s">
        <v>7038</v>
      </c>
      <c r="AA389" s="28" t="s">
        <v>7382</v>
      </c>
      <c r="AB389" s="56">
        <v>43413</v>
      </c>
      <c r="AC389" s="28" t="s">
        <v>7383</v>
      </c>
      <c r="AD389" s="28" t="s">
        <v>7384</v>
      </c>
      <c r="AE389" s="54" t="s">
        <v>7398</v>
      </c>
      <c r="AF389" s="54"/>
      <c r="AG389" s="54"/>
      <c r="AH389" s="53" t="s">
        <v>1591</v>
      </c>
      <c r="AI389" s="53" t="s">
        <v>2686</v>
      </c>
      <c r="AJ389" s="53" t="s">
        <v>1591</v>
      </c>
    </row>
    <row r="390" spans="1:36" s="3" customFormat="1" ht="60" x14ac:dyDescent="0.25">
      <c r="A390" s="17" t="s">
        <v>1823</v>
      </c>
      <c r="B390" s="18" t="s">
        <v>1213</v>
      </c>
      <c r="C390" s="19" t="s">
        <v>3651</v>
      </c>
      <c r="D390" s="45" t="s">
        <v>2272</v>
      </c>
      <c r="E390" s="50" t="s">
        <v>46</v>
      </c>
      <c r="F390" s="58" t="s">
        <v>46</v>
      </c>
      <c r="G390" s="51" t="s">
        <v>46</v>
      </c>
      <c r="H390" s="51" t="s">
        <v>46</v>
      </c>
      <c r="I390" s="50" t="s">
        <v>262</v>
      </c>
      <c r="J390" s="58" t="s">
        <v>3905</v>
      </c>
      <c r="K390" s="52" t="s">
        <v>124</v>
      </c>
      <c r="L390" s="59">
        <v>38488</v>
      </c>
      <c r="M390" s="60">
        <f>L390+365</f>
        <v>38853</v>
      </c>
      <c r="N390" s="51">
        <v>6429876.75</v>
      </c>
      <c r="O390" s="59"/>
      <c r="P390" s="59">
        <v>0</v>
      </c>
      <c r="Q390" s="51"/>
      <c r="R390" s="51">
        <f t="shared" ref="R390:R398" si="19">N390+Q390</f>
        <v>6429876.75</v>
      </c>
      <c r="S390" s="51"/>
      <c r="T390" s="52"/>
      <c r="U390" s="51">
        <v>410782.1</v>
      </c>
      <c r="V390" s="51">
        <v>236588.86</v>
      </c>
      <c r="W390" s="51">
        <v>236588.86</v>
      </c>
      <c r="X390" s="51">
        <v>2178590.6800000002</v>
      </c>
      <c r="Y390" s="19" t="s">
        <v>644</v>
      </c>
      <c r="Z390" s="19"/>
      <c r="AA390" s="28"/>
      <c r="AB390" s="56"/>
      <c r="AC390" s="28"/>
      <c r="AD390" s="28"/>
      <c r="AE390" s="54"/>
      <c r="AF390" s="54"/>
      <c r="AG390" s="54"/>
      <c r="AH390" s="53"/>
      <c r="AI390" s="53" t="s">
        <v>1591</v>
      </c>
      <c r="AJ390" s="53" t="s">
        <v>1591</v>
      </c>
    </row>
    <row r="391" spans="1:36" s="3" customFormat="1" ht="60" x14ac:dyDescent="0.25">
      <c r="A391" s="17" t="s">
        <v>1823</v>
      </c>
      <c r="B391" s="18" t="s">
        <v>1213</v>
      </c>
      <c r="C391" s="19" t="s">
        <v>3651</v>
      </c>
      <c r="D391" s="45" t="s">
        <v>2272</v>
      </c>
      <c r="E391" s="50" t="s">
        <v>46</v>
      </c>
      <c r="F391" s="58" t="s">
        <v>46</v>
      </c>
      <c r="G391" s="51" t="s">
        <v>46</v>
      </c>
      <c r="H391" s="51" t="s">
        <v>46</v>
      </c>
      <c r="I391" s="50" t="s">
        <v>262</v>
      </c>
      <c r="J391" s="58" t="s">
        <v>3905</v>
      </c>
      <c r="K391" s="52" t="s">
        <v>552</v>
      </c>
      <c r="L391" s="59">
        <v>38488</v>
      </c>
      <c r="M391" s="60">
        <f>L391+365</f>
        <v>38853</v>
      </c>
      <c r="N391" s="51">
        <v>6429876.75</v>
      </c>
      <c r="O391" s="59"/>
      <c r="P391" s="59">
        <v>0</v>
      </c>
      <c r="Q391" s="51"/>
      <c r="R391" s="51">
        <f t="shared" si="19"/>
        <v>6429876.75</v>
      </c>
      <c r="S391" s="51"/>
      <c r="T391" s="52"/>
      <c r="U391" s="51">
        <v>339397.5</v>
      </c>
      <c r="V391" s="51">
        <v>82165.7</v>
      </c>
      <c r="W391" s="51">
        <v>82165.7</v>
      </c>
      <c r="X391" s="51">
        <v>2233803.61</v>
      </c>
      <c r="Y391" s="19" t="s">
        <v>644</v>
      </c>
      <c r="Z391" s="19"/>
      <c r="AA391" s="28"/>
      <c r="AB391" s="56"/>
      <c r="AC391" s="28"/>
      <c r="AD391" s="28"/>
      <c r="AE391" s="54"/>
      <c r="AF391" s="54"/>
      <c r="AG391" s="54"/>
      <c r="AH391" s="53"/>
      <c r="AI391" s="53" t="s">
        <v>1591</v>
      </c>
      <c r="AJ391" s="53" t="s">
        <v>1591</v>
      </c>
    </row>
    <row r="392" spans="1:36" s="3" customFormat="1" ht="60" x14ac:dyDescent="0.25">
      <c r="A392" s="17" t="s">
        <v>1823</v>
      </c>
      <c r="B392" s="18" t="s">
        <v>1213</v>
      </c>
      <c r="C392" s="19" t="s">
        <v>3651</v>
      </c>
      <c r="D392" s="45" t="s">
        <v>2272</v>
      </c>
      <c r="E392" s="50" t="s">
        <v>46</v>
      </c>
      <c r="F392" s="58" t="s">
        <v>46</v>
      </c>
      <c r="G392" s="51" t="s">
        <v>46</v>
      </c>
      <c r="H392" s="51" t="s">
        <v>46</v>
      </c>
      <c r="I392" s="50" t="s">
        <v>262</v>
      </c>
      <c r="J392" s="58" t="s">
        <v>3905</v>
      </c>
      <c r="K392" s="52" t="s">
        <v>553</v>
      </c>
      <c r="L392" s="59">
        <v>38488</v>
      </c>
      <c r="M392" s="60">
        <f>L392+365</f>
        <v>38853</v>
      </c>
      <c r="N392" s="51">
        <v>5384138.0599999996</v>
      </c>
      <c r="O392" s="59"/>
      <c r="P392" s="59">
        <v>0</v>
      </c>
      <c r="Q392" s="51"/>
      <c r="R392" s="51">
        <f t="shared" si="19"/>
        <v>5384138.0599999996</v>
      </c>
      <c r="S392" s="51"/>
      <c r="T392" s="52"/>
      <c r="U392" s="51">
        <v>247383.92</v>
      </c>
      <c r="V392" s="51">
        <v>124812.46</v>
      </c>
      <c r="W392" s="51">
        <v>124812.46</v>
      </c>
      <c r="X392" s="51">
        <v>1082374.47</v>
      </c>
      <c r="Y392" s="19" t="s">
        <v>644</v>
      </c>
      <c r="Z392" s="19"/>
      <c r="AA392" s="28"/>
      <c r="AB392" s="56"/>
      <c r="AC392" s="28"/>
      <c r="AD392" s="28"/>
      <c r="AE392" s="54"/>
      <c r="AF392" s="54"/>
      <c r="AG392" s="54"/>
      <c r="AH392" s="53"/>
      <c r="AI392" s="53" t="s">
        <v>1591</v>
      </c>
      <c r="AJ392" s="53" t="s">
        <v>1591</v>
      </c>
    </row>
    <row r="393" spans="1:36" s="3" customFormat="1" ht="24" x14ac:dyDescent="0.25">
      <c r="A393" s="17" t="s">
        <v>1823</v>
      </c>
      <c r="B393" s="18" t="s">
        <v>1213</v>
      </c>
      <c r="C393" s="19" t="s">
        <v>2274</v>
      </c>
      <c r="D393" s="45" t="s">
        <v>2275</v>
      </c>
      <c r="E393" s="50" t="s">
        <v>46</v>
      </c>
      <c r="F393" s="58" t="s">
        <v>46</v>
      </c>
      <c r="G393" s="51" t="s">
        <v>46</v>
      </c>
      <c r="H393" s="51" t="s">
        <v>46</v>
      </c>
      <c r="I393" s="50" t="s">
        <v>268</v>
      </c>
      <c r="J393" s="58" t="s">
        <v>640</v>
      </c>
      <c r="K393" s="52" t="s">
        <v>1001</v>
      </c>
      <c r="L393" s="59">
        <v>41043</v>
      </c>
      <c r="M393" s="60">
        <f>L393+120</f>
        <v>41163</v>
      </c>
      <c r="N393" s="51">
        <v>2900921.25</v>
      </c>
      <c r="O393" s="59">
        <v>38822</v>
      </c>
      <c r="P393" s="59">
        <f>M393+120</f>
        <v>41283</v>
      </c>
      <c r="Q393" s="51">
        <v>1157679.23</v>
      </c>
      <c r="R393" s="51">
        <f t="shared" si="19"/>
        <v>4058600.48</v>
      </c>
      <c r="S393" s="51"/>
      <c r="T393" s="52"/>
      <c r="U393" s="51"/>
      <c r="V393" s="51"/>
      <c r="W393" s="51"/>
      <c r="X393" s="51">
        <v>187825.5</v>
      </c>
      <c r="Y393" s="19"/>
      <c r="Z393" s="19"/>
      <c r="AA393" s="28"/>
      <c r="AB393" s="56"/>
      <c r="AC393" s="28"/>
      <c r="AD393" s="28"/>
      <c r="AE393" s="54"/>
      <c r="AF393" s="54"/>
      <c r="AG393" s="54"/>
      <c r="AH393" s="53"/>
      <c r="AI393" s="53" t="s">
        <v>1591</v>
      </c>
      <c r="AJ393" s="53" t="s">
        <v>1591</v>
      </c>
    </row>
    <row r="394" spans="1:36" s="3" customFormat="1" ht="24" x14ac:dyDescent="0.25">
      <c r="A394" s="17" t="s">
        <v>1823</v>
      </c>
      <c r="B394" s="18" t="s">
        <v>1213</v>
      </c>
      <c r="C394" s="19" t="s">
        <v>2274</v>
      </c>
      <c r="D394" s="45" t="s">
        <v>2275</v>
      </c>
      <c r="E394" s="50" t="s">
        <v>46</v>
      </c>
      <c r="F394" s="58" t="s">
        <v>46</v>
      </c>
      <c r="G394" s="51" t="s">
        <v>46</v>
      </c>
      <c r="H394" s="51" t="s">
        <v>46</v>
      </c>
      <c r="I394" s="50" t="s">
        <v>2708</v>
      </c>
      <c r="J394" s="58" t="s">
        <v>2709</v>
      </c>
      <c r="K394" s="52" t="s">
        <v>2025</v>
      </c>
      <c r="L394" s="59">
        <v>41043</v>
      </c>
      <c r="M394" s="60">
        <f>L394+120</f>
        <v>41163</v>
      </c>
      <c r="N394" s="51">
        <v>2544299.79</v>
      </c>
      <c r="O394" s="59">
        <v>38822</v>
      </c>
      <c r="P394" s="59">
        <f>M394+120</f>
        <v>41283</v>
      </c>
      <c r="Q394" s="51">
        <v>889080.93</v>
      </c>
      <c r="R394" s="51">
        <f t="shared" si="19"/>
        <v>3433380.72</v>
      </c>
      <c r="S394" s="51"/>
      <c r="T394" s="52"/>
      <c r="U394" s="51"/>
      <c r="V394" s="51"/>
      <c r="W394" s="51"/>
      <c r="X394" s="51">
        <v>206349.28</v>
      </c>
      <c r="Y394" s="19"/>
      <c r="Z394" s="19"/>
      <c r="AA394" s="28"/>
      <c r="AB394" s="56"/>
      <c r="AC394" s="28"/>
      <c r="AD394" s="28"/>
      <c r="AE394" s="54"/>
      <c r="AF394" s="54"/>
      <c r="AG394" s="54"/>
      <c r="AH394" s="53"/>
      <c r="AI394" s="53" t="s">
        <v>1591</v>
      </c>
      <c r="AJ394" s="53" t="s">
        <v>1591</v>
      </c>
    </row>
    <row r="395" spans="1:36" s="3" customFormat="1" ht="60" x14ac:dyDescent="0.25">
      <c r="A395" s="17" t="s">
        <v>1823</v>
      </c>
      <c r="B395" s="18" t="s">
        <v>1213</v>
      </c>
      <c r="C395" s="19" t="s">
        <v>3651</v>
      </c>
      <c r="D395" s="45" t="s">
        <v>2272</v>
      </c>
      <c r="E395" s="50" t="s">
        <v>46</v>
      </c>
      <c r="F395" s="58" t="s">
        <v>46</v>
      </c>
      <c r="G395" s="51" t="s">
        <v>46</v>
      </c>
      <c r="H395" s="51" t="s">
        <v>46</v>
      </c>
      <c r="I395" s="50" t="s">
        <v>538</v>
      </c>
      <c r="J395" s="58" t="s">
        <v>3906</v>
      </c>
      <c r="K395" s="52" t="s">
        <v>554</v>
      </c>
      <c r="L395" s="59">
        <v>38488</v>
      </c>
      <c r="M395" s="60">
        <f>L395+365</f>
        <v>38853</v>
      </c>
      <c r="N395" s="51">
        <v>1987862.88</v>
      </c>
      <c r="O395" s="59"/>
      <c r="P395" s="59">
        <v>0</v>
      </c>
      <c r="Q395" s="51"/>
      <c r="R395" s="51">
        <f t="shared" si="19"/>
        <v>1987862.88</v>
      </c>
      <c r="S395" s="51"/>
      <c r="T395" s="52"/>
      <c r="U395" s="51">
        <v>259747.27</v>
      </c>
      <c r="V395" s="51">
        <v>145517.31</v>
      </c>
      <c r="W395" s="51">
        <v>145517.31</v>
      </c>
      <c r="X395" s="51">
        <v>714113.26</v>
      </c>
      <c r="Y395" s="19" t="s">
        <v>644</v>
      </c>
      <c r="Z395" s="19"/>
      <c r="AA395" s="28"/>
      <c r="AB395" s="56"/>
      <c r="AC395" s="28"/>
      <c r="AD395" s="28"/>
      <c r="AE395" s="54"/>
      <c r="AF395" s="54"/>
      <c r="AG395" s="54"/>
      <c r="AH395" s="53"/>
      <c r="AI395" s="53" t="s">
        <v>1591</v>
      </c>
      <c r="AJ395" s="53" t="s">
        <v>1591</v>
      </c>
    </row>
    <row r="396" spans="1:36" s="3" customFormat="1" ht="24" x14ac:dyDescent="0.25">
      <c r="A396" s="17" t="s">
        <v>1823</v>
      </c>
      <c r="B396" s="18" t="s">
        <v>1213</v>
      </c>
      <c r="C396" s="19" t="s">
        <v>2274</v>
      </c>
      <c r="D396" s="45" t="s">
        <v>2275</v>
      </c>
      <c r="E396" s="50" t="s">
        <v>46</v>
      </c>
      <c r="F396" s="58" t="s">
        <v>46</v>
      </c>
      <c r="G396" s="51" t="s">
        <v>46</v>
      </c>
      <c r="H396" s="51" t="s">
        <v>46</v>
      </c>
      <c r="I396" s="50" t="s">
        <v>516</v>
      </c>
      <c r="J396" s="58" t="s">
        <v>2276</v>
      </c>
      <c r="K396" s="52" t="s">
        <v>1162</v>
      </c>
      <c r="L396" s="59">
        <v>41043</v>
      </c>
      <c r="M396" s="60">
        <f>L396+120</f>
        <v>41163</v>
      </c>
      <c r="N396" s="51">
        <v>1097819.3999999999</v>
      </c>
      <c r="O396" s="59">
        <v>38822</v>
      </c>
      <c r="P396" s="59">
        <f>M396+120</f>
        <v>41283</v>
      </c>
      <c r="Q396" s="51">
        <v>465562.89</v>
      </c>
      <c r="R396" s="51">
        <f t="shared" si="19"/>
        <v>1563382.29</v>
      </c>
      <c r="S396" s="51"/>
      <c r="T396" s="52"/>
      <c r="U396" s="51"/>
      <c r="V396" s="51"/>
      <c r="W396" s="51"/>
      <c r="X396" s="51">
        <v>77754.5</v>
      </c>
      <c r="Y396" s="19"/>
      <c r="Z396" s="19"/>
      <c r="AA396" s="28"/>
      <c r="AB396" s="56"/>
      <c r="AC396" s="28"/>
      <c r="AD396" s="28"/>
      <c r="AE396" s="54"/>
      <c r="AF396" s="54"/>
      <c r="AG396" s="54"/>
      <c r="AH396" s="53"/>
      <c r="AI396" s="53" t="s">
        <v>1591</v>
      </c>
      <c r="AJ396" s="53" t="s">
        <v>1591</v>
      </c>
    </row>
    <row r="397" spans="1:36" s="3" customFormat="1" ht="72" x14ac:dyDescent="0.25">
      <c r="A397" s="17" t="s">
        <v>1823</v>
      </c>
      <c r="B397" s="18" t="s">
        <v>1213</v>
      </c>
      <c r="C397" s="19" t="s">
        <v>3652</v>
      </c>
      <c r="D397" s="45" t="s">
        <v>2277</v>
      </c>
      <c r="E397" s="50" t="s">
        <v>46</v>
      </c>
      <c r="F397" s="58" t="s">
        <v>46</v>
      </c>
      <c r="G397" s="51" t="s">
        <v>46</v>
      </c>
      <c r="H397" s="51" t="s">
        <v>46</v>
      </c>
      <c r="I397" s="50" t="s">
        <v>2278</v>
      </c>
      <c r="J397" s="58" t="s">
        <v>2279</v>
      </c>
      <c r="K397" s="52" t="s">
        <v>618</v>
      </c>
      <c r="L397" s="59">
        <v>37270</v>
      </c>
      <c r="M397" s="60">
        <f>L397+240</f>
        <v>37510</v>
      </c>
      <c r="N397" s="51">
        <v>1499983.34</v>
      </c>
      <c r="O397" s="59">
        <v>45945</v>
      </c>
      <c r="P397" s="59">
        <f>M397+420</f>
        <v>37930</v>
      </c>
      <c r="Q397" s="51"/>
      <c r="R397" s="51">
        <f t="shared" si="19"/>
        <v>1499983.34</v>
      </c>
      <c r="S397" s="51"/>
      <c r="T397" s="52"/>
      <c r="U397" s="51"/>
      <c r="V397" s="51"/>
      <c r="W397" s="51"/>
      <c r="X397" s="51">
        <v>537702.14</v>
      </c>
      <c r="Y397" s="19"/>
      <c r="Z397" s="19"/>
      <c r="AA397" s="28"/>
      <c r="AB397" s="56"/>
      <c r="AC397" s="28"/>
      <c r="AD397" s="28"/>
      <c r="AE397" s="54"/>
      <c r="AF397" s="54"/>
      <c r="AG397" s="54"/>
      <c r="AH397" s="53"/>
      <c r="AI397" s="53" t="s">
        <v>1591</v>
      </c>
      <c r="AJ397" s="53" t="s">
        <v>1591</v>
      </c>
    </row>
    <row r="398" spans="1:36" s="3" customFormat="1" ht="132" x14ac:dyDescent="0.25">
      <c r="A398" s="17" t="s">
        <v>1823</v>
      </c>
      <c r="B398" s="18" t="s">
        <v>2301</v>
      </c>
      <c r="C398" s="19" t="s">
        <v>3605</v>
      </c>
      <c r="D398" s="45" t="s">
        <v>3606</v>
      </c>
      <c r="E398" s="50"/>
      <c r="F398" s="58"/>
      <c r="G398" s="51"/>
      <c r="H398" s="51"/>
      <c r="I398" s="50" t="s">
        <v>238</v>
      </c>
      <c r="J398" s="58" t="s">
        <v>2922</v>
      </c>
      <c r="K398" s="52" t="s">
        <v>2385</v>
      </c>
      <c r="L398" s="59">
        <v>42632</v>
      </c>
      <c r="M398" s="60">
        <f>L398+150</f>
        <v>42782</v>
      </c>
      <c r="N398" s="51">
        <v>1332772.94</v>
      </c>
      <c r="O398" s="59" t="s">
        <v>3914</v>
      </c>
      <c r="P398" s="59">
        <v>0</v>
      </c>
      <c r="Q398" s="51"/>
      <c r="R398" s="51">
        <f t="shared" si="19"/>
        <v>1332772.94</v>
      </c>
      <c r="S398" s="51" t="s">
        <v>181</v>
      </c>
      <c r="T398" s="52" t="s">
        <v>52</v>
      </c>
      <c r="U398" s="51">
        <v>32231.75</v>
      </c>
      <c r="V398" s="51">
        <v>32231.75</v>
      </c>
      <c r="W398" s="51">
        <v>32231.75</v>
      </c>
      <c r="X398" s="51">
        <v>32231.75</v>
      </c>
      <c r="Y398" s="19" t="s">
        <v>157</v>
      </c>
      <c r="Z398" s="19"/>
      <c r="AA398" s="28" t="s">
        <v>8440</v>
      </c>
      <c r="AB398" s="56">
        <v>43405</v>
      </c>
      <c r="AC398" s="28" t="s">
        <v>7400</v>
      </c>
      <c r="AD398" s="28" t="s">
        <v>7401</v>
      </c>
      <c r="AE398" s="54"/>
      <c r="AF398" s="54"/>
      <c r="AG398" s="54" t="s">
        <v>7402</v>
      </c>
      <c r="AH398" s="53" t="s">
        <v>1591</v>
      </c>
      <c r="AI398" s="53" t="s">
        <v>2686</v>
      </c>
      <c r="AJ398" s="53" t="s">
        <v>1591</v>
      </c>
    </row>
    <row r="399" spans="1:36" s="3" customFormat="1" ht="36" x14ac:dyDescent="0.25">
      <c r="A399" s="17" t="s">
        <v>1823</v>
      </c>
      <c r="B399" s="18" t="s">
        <v>2305</v>
      </c>
      <c r="C399" s="76" t="s">
        <v>59</v>
      </c>
      <c r="D399" s="45" t="s">
        <v>6448</v>
      </c>
      <c r="E399" s="78" t="s">
        <v>6449</v>
      </c>
      <c r="F399" s="79" t="s">
        <v>104</v>
      </c>
      <c r="G399" s="80">
        <v>663972.68999999994</v>
      </c>
      <c r="H399" s="80">
        <v>845056.15</v>
      </c>
      <c r="I399" s="78" t="s">
        <v>253</v>
      </c>
      <c r="J399" s="79" t="s">
        <v>254</v>
      </c>
      <c r="K399" s="81" t="s">
        <v>5339</v>
      </c>
      <c r="L399" s="82">
        <v>41443</v>
      </c>
      <c r="M399" s="83">
        <v>41818</v>
      </c>
      <c r="N399" s="80">
        <v>34243730.640000001</v>
      </c>
      <c r="O399" s="82" t="s">
        <v>6450</v>
      </c>
      <c r="P399" s="84" t="s">
        <v>6451</v>
      </c>
      <c r="Q399" s="80">
        <v>8770421.7199999988</v>
      </c>
      <c r="R399" s="80">
        <v>43014152.359999999</v>
      </c>
      <c r="S399" s="80">
        <v>8770421.7200000007</v>
      </c>
      <c r="T399" s="81" t="s">
        <v>6166</v>
      </c>
      <c r="U399" s="80">
        <v>15953499.869999999</v>
      </c>
      <c r="V399" s="80"/>
      <c r="W399" s="80"/>
      <c r="X399" s="80">
        <v>15953499.869999999</v>
      </c>
      <c r="Y399" s="76" t="s">
        <v>175</v>
      </c>
      <c r="Z399" s="19" t="s">
        <v>7038</v>
      </c>
      <c r="AA399" s="28"/>
      <c r="AB399" s="56"/>
      <c r="AC399" s="28"/>
      <c r="AD399" s="28"/>
      <c r="AE399" s="54"/>
      <c r="AF399" s="54"/>
      <c r="AG399" s="54"/>
      <c r="AH399" s="53"/>
      <c r="AI399" s="53" t="s">
        <v>1591</v>
      </c>
      <c r="AJ399" s="53" t="s">
        <v>1591</v>
      </c>
    </row>
    <row r="400" spans="1:36" s="3" customFormat="1" ht="48" x14ac:dyDescent="0.25">
      <c r="A400" s="17" t="s">
        <v>1823</v>
      </c>
      <c r="B400" s="18" t="s">
        <v>2305</v>
      </c>
      <c r="C400" s="76" t="s">
        <v>6452</v>
      </c>
      <c r="D400" s="45" t="s">
        <v>6453</v>
      </c>
      <c r="E400" s="78"/>
      <c r="F400" s="79"/>
      <c r="G400" s="80"/>
      <c r="H400" s="80"/>
      <c r="I400" s="78" t="s">
        <v>1421</v>
      </c>
      <c r="J400" s="79" t="s">
        <v>6454</v>
      </c>
      <c r="K400" s="81" t="s">
        <v>436</v>
      </c>
      <c r="L400" s="82">
        <v>41666</v>
      </c>
      <c r="M400" s="83">
        <v>43466</v>
      </c>
      <c r="N400" s="80">
        <v>15547142.390000001</v>
      </c>
      <c r="O400" s="82"/>
      <c r="P400" s="84" t="s">
        <v>5113</v>
      </c>
      <c r="Q400" s="80">
        <v>0</v>
      </c>
      <c r="R400" s="80">
        <v>15547142.390000001</v>
      </c>
      <c r="S400" s="80">
        <v>0</v>
      </c>
      <c r="T400" s="81" t="s">
        <v>6166</v>
      </c>
      <c r="U400" s="80">
        <v>1714434.4</v>
      </c>
      <c r="V400" s="80"/>
      <c r="W400" s="80"/>
      <c r="X400" s="80">
        <v>1714434.4</v>
      </c>
      <c r="Y400" s="76" t="s">
        <v>175</v>
      </c>
      <c r="Z400" s="19" t="s">
        <v>7038</v>
      </c>
      <c r="AA400" s="28"/>
      <c r="AB400" s="56"/>
      <c r="AC400" s="28"/>
      <c r="AD400" s="28"/>
      <c r="AE400" s="54"/>
      <c r="AF400" s="54"/>
      <c r="AG400" s="54"/>
      <c r="AH400" s="53"/>
      <c r="AI400" s="53" t="s">
        <v>1591</v>
      </c>
      <c r="AJ400" s="53" t="s">
        <v>1591</v>
      </c>
    </row>
    <row r="401" spans="1:36" s="3" customFormat="1" ht="84" x14ac:dyDescent="0.25">
      <c r="A401" s="17" t="s">
        <v>1823</v>
      </c>
      <c r="B401" s="18" t="s">
        <v>2302</v>
      </c>
      <c r="C401" s="76" t="s">
        <v>6455</v>
      </c>
      <c r="D401" s="45" t="s">
        <v>6456</v>
      </c>
      <c r="E401" s="78"/>
      <c r="F401" s="79"/>
      <c r="G401" s="80"/>
      <c r="H401" s="80"/>
      <c r="I401" s="78" t="s">
        <v>6457</v>
      </c>
      <c r="J401" s="79" t="s">
        <v>6458</v>
      </c>
      <c r="K401" s="81" t="s">
        <v>1525</v>
      </c>
      <c r="L401" s="82">
        <v>42013</v>
      </c>
      <c r="M401" s="83">
        <v>42194</v>
      </c>
      <c r="N401" s="80">
        <v>5546844.3700000001</v>
      </c>
      <c r="O401" s="82"/>
      <c r="P401" s="84" t="s">
        <v>6459</v>
      </c>
      <c r="Q401" s="80">
        <v>934537.54999999981</v>
      </c>
      <c r="R401" s="80">
        <v>6481381.9199999999</v>
      </c>
      <c r="S401" s="80"/>
      <c r="T401" s="81" t="s">
        <v>211</v>
      </c>
      <c r="U401" s="80"/>
      <c r="V401" s="80"/>
      <c r="W401" s="80"/>
      <c r="X401" s="80">
        <v>2112564.6800000002</v>
      </c>
      <c r="Y401" s="76" t="s">
        <v>637</v>
      </c>
      <c r="Z401" s="19" t="s">
        <v>7038</v>
      </c>
      <c r="AA401" s="28"/>
      <c r="AB401" s="56"/>
      <c r="AC401" s="28"/>
      <c r="AD401" s="28"/>
      <c r="AE401" s="54"/>
      <c r="AF401" s="54"/>
      <c r="AG401" s="54"/>
      <c r="AH401" s="53"/>
      <c r="AI401" s="53" t="s">
        <v>1591</v>
      </c>
      <c r="AJ401" s="53" t="s">
        <v>1591</v>
      </c>
    </row>
    <row r="402" spans="1:36" s="3" customFormat="1" ht="36" x14ac:dyDescent="0.25">
      <c r="A402" s="17" t="s">
        <v>1823</v>
      </c>
      <c r="B402" s="18" t="s">
        <v>2302</v>
      </c>
      <c r="C402" s="76" t="s">
        <v>6460</v>
      </c>
      <c r="D402" s="45" t="s">
        <v>6461</v>
      </c>
      <c r="E402" s="78"/>
      <c r="F402" s="79"/>
      <c r="G402" s="80"/>
      <c r="H402" s="80"/>
      <c r="I402" s="78" t="s">
        <v>5901</v>
      </c>
      <c r="J402" s="79" t="s">
        <v>6462</v>
      </c>
      <c r="K402" s="81" t="s">
        <v>2059</v>
      </c>
      <c r="L402" s="82">
        <v>41824</v>
      </c>
      <c r="M402" s="83">
        <v>42067</v>
      </c>
      <c r="N402" s="80">
        <v>5279755.18</v>
      </c>
      <c r="O402" s="82"/>
      <c r="P402" s="84" t="s">
        <v>6463</v>
      </c>
      <c r="Q402" s="80">
        <v>0</v>
      </c>
      <c r="R402" s="80">
        <v>5279755.18</v>
      </c>
      <c r="S402" s="80"/>
      <c r="T402" s="81" t="s">
        <v>211</v>
      </c>
      <c r="U402" s="80"/>
      <c r="V402" s="80"/>
      <c r="W402" s="80"/>
      <c r="X402" s="80">
        <v>236567.09</v>
      </c>
      <c r="Y402" s="76" t="s">
        <v>6464</v>
      </c>
      <c r="Z402" s="19" t="s">
        <v>7038</v>
      </c>
      <c r="AA402" s="28"/>
      <c r="AB402" s="56"/>
      <c r="AC402" s="28"/>
      <c r="AD402" s="28"/>
      <c r="AE402" s="54"/>
      <c r="AF402" s="54"/>
      <c r="AG402" s="54"/>
      <c r="AH402" s="53"/>
      <c r="AI402" s="53" t="s">
        <v>1591</v>
      </c>
      <c r="AJ402" s="53" t="s">
        <v>1591</v>
      </c>
    </row>
    <row r="403" spans="1:36" s="3" customFormat="1" ht="96" x14ac:dyDescent="0.25">
      <c r="A403" s="17" t="s">
        <v>1823</v>
      </c>
      <c r="B403" s="18" t="s">
        <v>2302</v>
      </c>
      <c r="C403" s="76" t="s">
        <v>6465</v>
      </c>
      <c r="D403" s="45" t="s">
        <v>6466</v>
      </c>
      <c r="E403" s="78"/>
      <c r="F403" s="79"/>
      <c r="G403" s="80"/>
      <c r="H403" s="80"/>
      <c r="I403" s="78" t="s">
        <v>6457</v>
      </c>
      <c r="J403" s="79" t="s">
        <v>6458</v>
      </c>
      <c r="K403" s="81" t="s">
        <v>1981</v>
      </c>
      <c r="L403" s="82">
        <v>42132</v>
      </c>
      <c r="M403" s="83">
        <v>42498</v>
      </c>
      <c r="N403" s="80">
        <v>2877406.82</v>
      </c>
      <c r="O403" s="82"/>
      <c r="P403" s="84" t="s">
        <v>6467</v>
      </c>
      <c r="Q403" s="80">
        <v>0</v>
      </c>
      <c r="R403" s="80">
        <v>2877406.82</v>
      </c>
      <c r="S403" s="80">
        <v>39636.980000000003</v>
      </c>
      <c r="T403" s="81" t="s">
        <v>211</v>
      </c>
      <c r="U403" s="80">
        <v>263810.65000000002</v>
      </c>
      <c r="V403" s="80"/>
      <c r="W403" s="80"/>
      <c r="X403" s="80">
        <v>614972.01</v>
      </c>
      <c r="Y403" s="76" t="s">
        <v>637</v>
      </c>
      <c r="Z403" s="19" t="s">
        <v>7038</v>
      </c>
      <c r="AA403" s="28"/>
      <c r="AB403" s="56"/>
      <c r="AC403" s="28"/>
      <c r="AD403" s="28"/>
      <c r="AE403" s="54"/>
      <c r="AF403" s="54"/>
      <c r="AG403" s="54"/>
      <c r="AH403" s="53"/>
      <c r="AI403" s="53" t="s">
        <v>1591</v>
      </c>
      <c r="AJ403" s="53" t="s">
        <v>1591</v>
      </c>
    </row>
    <row r="404" spans="1:36" s="3" customFormat="1" ht="48" x14ac:dyDescent="0.25">
      <c r="A404" s="17" t="s">
        <v>1823</v>
      </c>
      <c r="B404" s="18" t="s">
        <v>2302</v>
      </c>
      <c r="C404" s="76" t="s">
        <v>6471</v>
      </c>
      <c r="D404" s="45" t="s">
        <v>6472</v>
      </c>
      <c r="E404" s="78"/>
      <c r="F404" s="79"/>
      <c r="G404" s="80"/>
      <c r="H404" s="80"/>
      <c r="I404" s="78" t="s">
        <v>528</v>
      </c>
      <c r="J404" s="79" t="s">
        <v>6468</v>
      </c>
      <c r="K404" s="81" t="s">
        <v>6473</v>
      </c>
      <c r="L404" s="82">
        <v>41614</v>
      </c>
      <c r="M404" s="83">
        <v>41857</v>
      </c>
      <c r="N404" s="80">
        <v>1804910.37</v>
      </c>
      <c r="O404" s="82"/>
      <c r="P404" s="84" t="s">
        <v>6474</v>
      </c>
      <c r="Q404" s="80">
        <v>0</v>
      </c>
      <c r="R404" s="80">
        <v>1804910.37</v>
      </c>
      <c r="S404" s="80"/>
      <c r="T404" s="81" t="s">
        <v>211</v>
      </c>
      <c r="U404" s="80"/>
      <c r="V404" s="80"/>
      <c r="W404" s="80"/>
      <c r="X404" s="80">
        <v>604846.24</v>
      </c>
      <c r="Y404" s="76" t="s">
        <v>6464</v>
      </c>
      <c r="Z404" s="19" t="s">
        <v>7038</v>
      </c>
      <c r="AA404" s="28"/>
      <c r="AB404" s="56"/>
      <c r="AC404" s="28"/>
      <c r="AD404" s="28"/>
      <c r="AE404" s="54"/>
      <c r="AF404" s="54"/>
      <c r="AG404" s="54"/>
      <c r="AH404" s="53"/>
      <c r="AI404" s="53" t="s">
        <v>1591</v>
      </c>
      <c r="AJ404" s="53" t="s">
        <v>1591</v>
      </c>
    </row>
    <row r="405" spans="1:36" s="3" customFormat="1" ht="36" x14ac:dyDescent="0.25">
      <c r="A405" s="35" t="s">
        <v>2706</v>
      </c>
      <c r="B405" s="34" t="s">
        <v>6469</v>
      </c>
      <c r="C405" s="76"/>
      <c r="D405" s="43" t="s">
        <v>6475</v>
      </c>
      <c r="E405" s="78"/>
      <c r="F405" s="36"/>
      <c r="G405" s="80"/>
      <c r="H405" s="80"/>
      <c r="I405" s="36" t="s">
        <v>6476</v>
      </c>
      <c r="J405" s="34" t="s">
        <v>6477</v>
      </c>
      <c r="K405" s="37" t="s">
        <v>6478</v>
      </c>
      <c r="L405" s="38">
        <v>41689</v>
      </c>
      <c r="M405" s="39">
        <v>41870</v>
      </c>
      <c r="N405" s="42">
        <v>1749082.08</v>
      </c>
      <c r="O405" s="85">
        <v>42021</v>
      </c>
      <c r="P405" s="86">
        <v>42232</v>
      </c>
      <c r="Q405" s="41"/>
      <c r="R405" s="41">
        <v>1749082.08</v>
      </c>
      <c r="S405" s="80"/>
      <c r="T405" s="81"/>
      <c r="U405" s="80"/>
      <c r="V405" s="80"/>
      <c r="W405" s="42"/>
      <c r="X405" s="42">
        <v>777879.66</v>
      </c>
      <c r="Y405" s="34" t="s">
        <v>4321</v>
      </c>
      <c r="Z405" s="19" t="s">
        <v>7038</v>
      </c>
      <c r="AA405" s="28"/>
      <c r="AB405" s="56"/>
      <c r="AC405" s="28"/>
      <c r="AD405" s="28"/>
      <c r="AE405" s="54"/>
      <c r="AF405" s="54"/>
      <c r="AG405" s="54"/>
      <c r="AH405" s="53"/>
      <c r="AI405" s="53" t="s">
        <v>1591</v>
      </c>
      <c r="AJ405" s="53" t="s">
        <v>1591</v>
      </c>
    </row>
    <row r="406" spans="1:36" s="3" customFormat="1" ht="108" x14ac:dyDescent="0.25">
      <c r="A406" s="35" t="s">
        <v>2706</v>
      </c>
      <c r="B406" s="34" t="s">
        <v>6469</v>
      </c>
      <c r="C406" s="76"/>
      <c r="D406" s="43" t="s">
        <v>6479</v>
      </c>
      <c r="E406" s="78"/>
      <c r="F406" s="36"/>
      <c r="G406" s="80"/>
      <c r="H406" s="80"/>
      <c r="I406" s="36" t="s">
        <v>6301</v>
      </c>
      <c r="J406" s="34" t="s">
        <v>6470</v>
      </c>
      <c r="K406" s="37" t="s">
        <v>6480</v>
      </c>
      <c r="L406" s="38">
        <v>41591</v>
      </c>
      <c r="M406" s="39">
        <v>42134</v>
      </c>
      <c r="N406" s="42">
        <v>1305406.81</v>
      </c>
      <c r="O406" s="85"/>
      <c r="P406" s="86">
        <v>42134</v>
      </c>
      <c r="Q406" s="41">
        <v>238605.58000000002</v>
      </c>
      <c r="R406" s="41">
        <v>1544012.3900000001</v>
      </c>
      <c r="S406" s="80"/>
      <c r="T406" s="81"/>
      <c r="U406" s="80"/>
      <c r="V406" s="80"/>
      <c r="W406" s="42"/>
      <c r="X406" s="42">
        <v>498239.49</v>
      </c>
      <c r="Y406" s="34" t="s">
        <v>4321</v>
      </c>
      <c r="Z406" s="19" t="s">
        <v>7038</v>
      </c>
      <c r="AA406" s="28"/>
      <c r="AB406" s="56"/>
      <c r="AC406" s="28"/>
      <c r="AD406" s="28"/>
      <c r="AE406" s="54"/>
      <c r="AF406" s="54"/>
      <c r="AG406" s="54"/>
      <c r="AH406" s="53"/>
      <c r="AI406" s="53" t="s">
        <v>1591</v>
      </c>
      <c r="AJ406" s="53" t="s">
        <v>1591</v>
      </c>
    </row>
    <row r="407" spans="1:36" s="3" customFormat="1" ht="228" x14ac:dyDescent="0.25">
      <c r="A407" s="35" t="s">
        <v>2706</v>
      </c>
      <c r="B407" s="34" t="s">
        <v>6469</v>
      </c>
      <c r="C407" s="76"/>
      <c r="D407" s="43" t="s">
        <v>6481</v>
      </c>
      <c r="E407" s="78"/>
      <c r="F407" s="36"/>
      <c r="G407" s="80"/>
      <c r="H407" s="80"/>
      <c r="I407" s="36" t="s">
        <v>551</v>
      </c>
      <c r="J407" s="34" t="s">
        <v>5804</v>
      </c>
      <c r="K407" s="37" t="s">
        <v>5858</v>
      </c>
      <c r="L407" s="38">
        <v>41381</v>
      </c>
      <c r="M407" s="39">
        <v>41757</v>
      </c>
      <c r="N407" s="42">
        <v>533855.07999999996</v>
      </c>
      <c r="O407" s="85"/>
      <c r="P407" s="86"/>
      <c r="Q407" s="41">
        <v>85843.62</v>
      </c>
      <c r="R407" s="41">
        <v>619698.69999999995</v>
      </c>
      <c r="S407" s="80"/>
      <c r="T407" s="81"/>
      <c r="U407" s="80"/>
      <c r="V407" s="80"/>
      <c r="W407" s="42"/>
      <c r="X407" s="42">
        <v>361026.43</v>
      </c>
      <c r="Y407" s="34" t="s">
        <v>4321</v>
      </c>
      <c r="Z407" s="19" t="s">
        <v>7038</v>
      </c>
      <c r="AA407" s="28"/>
      <c r="AB407" s="56"/>
      <c r="AC407" s="28"/>
      <c r="AD407" s="28"/>
      <c r="AE407" s="54"/>
      <c r="AF407" s="54"/>
      <c r="AG407" s="54"/>
      <c r="AH407" s="53"/>
      <c r="AI407" s="53" t="s">
        <v>1591</v>
      </c>
      <c r="AJ407" s="53" t="s">
        <v>1591</v>
      </c>
    </row>
    <row r="408" spans="1:36" s="3" customFormat="1" ht="96" x14ac:dyDescent="0.25">
      <c r="A408" s="17" t="s">
        <v>1823</v>
      </c>
      <c r="B408" s="18" t="s">
        <v>3607</v>
      </c>
      <c r="C408" s="19" t="s">
        <v>3608</v>
      </c>
      <c r="D408" s="45" t="s">
        <v>2281</v>
      </c>
      <c r="E408" s="50" t="s">
        <v>2282</v>
      </c>
      <c r="F408" s="58" t="s">
        <v>2283</v>
      </c>
      <c r="G408" s="51">
        <v>4427477.18</v>
      </c>
      <c r="H408" s="51">
        <v>2586949.04</v>
      </c>
      <c r="I408" s="50" t="s">
        <v>2284</v>
      </c>
      <c r="J408" s="58" t="s">
        <v>2285</v>
      </c>
      <c r="K408" s="52" t="s">
        <v>2286</v>
      </c>
      <c r="L408" s="59">
        <v>40123</v>
      </c>
      <c r="M408" s="60">
        <f>L408+480</f>
        <v>40603</v>
      </c>
      <c r="N408" s="51">
        <v>7014426.2199999997</v>
      </c>
      <c r="O408" s="59" t="s">
        <v>46</v>
      </c>
      <c r="P408" s="59">
        <f>M408+2163</f>
        <v>42766</v>
      </c>
      <c r="Q408" s="51">
        <v>3814681.08</v>
      </c>
      <c r="R408" s="51">
        <f>N408+Q408</f>
        <v>10829107.300000001</v>
      </c>
      <c r="S408" s="51"/>
      <c r="T408" s="52" t="s">
        <v>2287</v>
      </c>
      <c r="U408" s="51">
        <v>434967.35</v>
      </c>
      <c r="V408" s="51">
        <v>434967.35</v>
      </c>
      <c r="W408" s="51">
        <v>434967.35</v>
      </c>
      <c r="X408" s="51">
        <v>8738530.9299999997</v>
      </c>
      <c r="Y408" s="19" t="s">
        <v>175</v>
      </c>
      <c r="Z408" s="19"/>
      <c r="AA408" s="28" t="s">
        <v>7403</v>
      </c>
      <c r="AB408" s="56">
        <v>43398</v>
      </c>
      <c r="AC408" s="28" t="s">
        <v>7404</v>
      </c>
      <c r="AD408" s="28" t="s">
        <v>7405</v>
      </c>
      <c r="AE408" s="54" t="s">
        <v>7406</v>
      </c>
      <c r="AF408" s="54"/>
      <c r="AG408" s="54" t="s">
        <v>7407</v>
      </c>
      <c r="AH408" s="53" t="s">
        <v>1591</v>
      </c>
      <c r="AI408" s="53" t="s">
        <v>2686</v>
      </c>
      <c r="AJ408" s="53" t="s">
        <v>1591</v>
      </c>
    </row>
    <row r="409" spans="1:36" s="3" customFormat="1" ht="72" x14ac:dyDescent="0.25">
      <c r="A409" s="17" t="s">
        <v>1823</v>
      </c>
      <c r="B409" s="18" t="s">
        <v>3607</v>
      </c>
      <c r="C409" s="19" t="s">
        <v>3608</v>
      </c>
      <c r="D409" s="45" t="s">
        <v>2288</v>
      </c>
      <c r="E409" s="50" t="s">
        <v>2282</v>
      </c>
      <c r="F409" s="58" t="s">
        <v>2283</v>
      </c>
      <c r="G409" s="51">
        <v>4999044.16</v>
      </c>
      <c r="H409" s="51">
        <v>2281861.06</v>
      </c>
      <c r="I409" s="50" t="s">
        <v>1353</v>
      </c>
      <c r="J409" s="58" t="s">
        <v>2289</v>
      </c>
      <c r="K409" s="52" t="s">
        <v>2290</v>
      </c>
      <c r="L409" s="59">
        <v>40123</v>
      </c>
      <c r="M409" s="60">
        <f>L409+480</f>
        <v>40603</v>
      </c>
      <c r="N409" s="51">
        <v>7280905.21</v>
      </c>
      <c r="O409" s="59">
        <v>41852</v>
      </c>
      <c r="P409" s="59">
        <f>M409+1612</f>
        <v>42215</v>
      </c>
      <c r="Q409" s="51">
        <v>2972329.25</v>
      </c>
      <c r="R409" s="51">
        <f>N409+Q409</f>
        <v>10253234.460000001</v>
      </c>
      <c r="S409" s="51"/>
      <c r="T409" s="52" t="s">
        <v>2287</v>
      </c>
      <c r="U409" s="51"/>
      <c r="V409" s="51">
        <v>0</v>
      </c>
      <c r="W409" s="51"/>
      <c r="X409" s="51">
        <v>7694441.8300000001</v>
      </c>
      <c r="Y409" s="19" t="s">
        <v>498</v>
      </c>
      <c r="Z409" s="19"/>
      <c r="AA409" s="28" t="s">
        <v>7403</v>
      </c>
      <c r="AB409" s="56">
        <v>43398</v>
      </c>
      <c r="AC409" s="28" t="s">
        <v>7404</v>
      </c>
      <c r="AD409" s="28" t="s">
        <v>7405</v>
      </c>
      <c r="AE409" s="54" t="s">
        <v>7408</v>
      </c>
      <c r="AF409" s="54"/>
      <c r="AG409" s="54" t="s">
        <v>7409</v>
      </c>
      <c r="AH409" s="53" t="s">
        <v>1591</v>
      </c>
      <c r="AI409" s="53" t="s">
        <v>2686</v>
      </c>
      <c r="AJ409" s="53" t="s">
        <v>1591</v>
      </c>
    </row>
    <row r="410" spans="1:36" s="3" customFormat="1" ht="96" x14ac:dyDescent="0.25">
      <c r="A410" s="35" t="s">
        <v>1823</v>
      </c>
      <c r="B410" s="18" t="s">
        <v>3607</v>
      </c>
      <c r="C410" s="19" t="s">
        <v>3609</v>
      </c>
      <c r="D410" s="43" t="s">
        <v>2291</v>
      </c>
      <c r="E410" s="50"/>
      <c r="F410" s="36"/>
      <c r="G410" s="51"/>
      <c r="H410" s="51"/>
      <c r="I410" s="36" t="s">
        <v>2292</v>
      </c>
      <c r="J410" s="34" t="s">
        <v>2293</v>
      </c>
      <c r="K410" s="37" t="s">
        <v>2294</v>
      </c>
      <c r="L410" s="38">
        <v>41589</v>
      </c>
      <c r="M410" s="39">
        <f>L410+270</f>
        <v>41859</v>
      </c>
      <c r="N410" s="42">
        <v>4977977.09</v>
      </c>
      <c r="O410" s="74" t="s">
        <v>46</v>
      </c>
      <c r="P410" s="39">
        <f>M410+1175</f>
        <v>43034</v>
      </c>
      <c r="Q410" s="41"/>
      <c r="R410" s="51">
        <f>N410+Q410</f>
        <v>4977977.09</v>
      </c>
      <c r="S410" s="51"/>
      <c r="T410" s="52" t="s">
        <v>2287</v>
      </c>
      <c r="U410" s="51">
        <v>189109.81</v>
      </c>
      <c r="V410" s="51">
        <v>189109.81</v>
      </c>
      <c r="W410" s="42">
        <v>189109.81</v>
      </c>
      <c r="X410" s="42">
        <v>2960197.58</v>
      </c>
      <c r="Y410" s="34" t="s">
        <v>498</v>
      </c>
      <c r="Z410" s="34"/>
      <c r="AA410" s="28" t="s">
        <v>7403</v>
      </c>
      <c r="AB410" s="56">
        <v>43398</v>
      </c>
      <c r="AC410" s="28" t="s">
        <v>7404</v>
      </c>
      <c r="AD410" s="28" t="s">
        <v>7405</v>
      </c>
      <c r="AE410" s="54" t="s">
        <v>7410</v>
      </c>
      <c r="AF410" s="54"/>
      <c r="AG410" s="54" t="s">
        <v>7411</v>
      </c>
      <c r="AH410" s="53" t="s">
        <v>1591</v>
      </c>
      <c r="AI410" s="53" t="s">
        <v>2686</v>
      </c>
      <c r="AJ410" s="53" t="s">
        <v>1591</v>
      </c>
    </row>
    <row r="411" spans="1:36" s="3" customFormat="1" ht="60" x14ac:dyDescent="0.25">
      <c r="A411" s="17" t="s">
        <v>1823</v>
      </c>
      <c r="B411" s="18" t="s">
        <v>3607</v>
      </c>
      <c r="C411" s="19" t="s">
        <v>2295</v>
      </c>
      <c r="D411" s="45" t="s">
        <v>2296</v>
      </c>
      <c r="E411" s="50"/>
      <c r="F411" s="58"/>
      <c r="G411" s="51"/>
      <c r="H411" s="51"/>
      <c r="I411" s="50" t="s">
        <v>2297</v>
      </c>
      <c r="J411" s="58" t="s">
        <v>2298</v>
      </c>
      <c r="K411" s="52">
        <v>34113</v>
      </c>
      <c r="L411" s="59">
        <v>41607</v>
      </c>
      <c r="M411" s="60">
        <f>L411+75</f>
        <v>41682</v>
      </c>
      <c r="N411" s="51">
        <v>1510823.46</v>
      </c>
      <c r="O411" s="59">
        <v>41852</v>
      </c>
      <c r="P411" s="59">
        <f>M411+1627</f>
        <v>43309</v>
      </c>
      <c r="Q411" s="51"/>
      <c r="R411" s="51">
        <f>N411+Q411</f>
        <v>1510823.46</v>
      </c>
      <c r="S411" s="51"/>
      <c r="T411" s="52" t="s">
        <v>2287</v>
      </c>
      <c r="U411" s="51">
        <v>0</v>
      </c>
      <c r="V411" s="51">
        <v>0</v>
      </c>
      <c r="W411" s="51">
        <v>0</v>
      </c>
      <c r="X411" s="51">
        <v>842551.05</v>
      </c>
      <c r="Y411" s="19" t="s">
        <v>157</v>
      </c>
      <c r="Z411" s="19"/>
      <c r="AA411" s="28" t="s">
        <v>7403</v>
      </c>
      <c r="AB411" s="56">
        <v>43398</v>
      </c>
      <c r="AC411" s="28" t="s">
        <v>7404</v>
      </c>
      <c r="AD411" s="28" t="s">
        <v>7405</v>
      </c>
      <c r="AE411" s="54" t="s">
        <v>7412</v>
      </c>
      <c r="AF411" s="54"/>
      <c r="AG411" s="54" t="s">
        <v>7413</v>
      </c>
      <c r="AH411" s="53" t="s">
        <v>1591</v>
      </c>
      <c r="AI411" s="53" t="s">
        <v>2686</v>
      </c>
      <c r="AJ411" s="53" t="s">
        <v>1591</v>
      </c>
    </row>
    <row r="412" spans="1:36" s="3" customFormat="1" ht="72" x14ac:dyDescent="0.25">
      <c r="A412" s="17" t="s">
        <v>1823</v>
      </c>
      <c r="B412" s="18" t="s">
        <v>2280</v>
      </c>
      <c r="C412" s="76" t="s">
        <v>6482</v>
      </c>
      <c r="D412" s="45" t="s">
        <v>6483</v>
      </c>
      <c r="E412" s="78" t="s">
        <v>6484</v>
      </c>
      <c r="F412" s="79" t="s">
        <v>6485</v>
      </c>
      <c r="G412" s="80" t="s">
        <v>6486</v>
      </c>
      <c r="H412" s="80" t="s">
        <v>6487</v>
      </c>
      <c r="I412" s="78" t="s">
        <v>6488</v>
      </c>
      <c r="J412" s="79" t="s">
        <v>6489</v>
      </c>
      <c r="K412" s="81" t="s">
        <v>6490</v>
      </c>
      <c r="L412" s="82">
        <v>39514</v>
      </c>
      <c r="M412" s="83">
        <v>40054</v>
      </c>
      <c r="N412" s="80">
        <v>100722945.03</v>
      </c>
      <c r="O412" s="82" t="s">
        <v>6491</v>
      </c>
      <c r="P412" s="84" t="s">
        <v>6492</v>
      </c>
      <c r="Q412" s="80">
        <v>21646834.620000005</v>
      </c>
      <c r="R412" s="80">
        <v>122369779.65000001</v>
      </c>
      <c r="S412" s="80">
        <v>1441538.64</v>
      </c>
      <c r="T412" s="81" t="s">
        <v>52</v>
      </c>
      <c r="U412" s="80"/>
      <c r="V412" s="80"/>
      <c r="W412" s="80"/>
      <c r="X412" s="80">
        <v>14125320.619999999</v>
      </c>
      <c r="Y412" s="76" t="s">
        <v>6353</v>
      </c>
      <c r="Z412" s="19" t="s">
        <v>7038</v>
      </c>
      <c r="AA412" s="28" t="s">
        <v>8431</v>
      </c>
      <c r="AB412" s="56">
        <v>43405</v>
      </c>
      <c r="AC412" s="28" t="s">
        <v>7936</v>
      </c>
      <c r="AD412" s="28" t="s">
        <v>8432</v>
      </c>
      <c r="AE412" s="54"/>
      <c r="AF412" s="54"/>
      <c r="AG412" s="101" t="s">
        <v>7368</v>
      </c>
      <c r="AH412" s="53" t="s">
        <v>1591</v>
      </c>
      <c r="AI412" s="53" t="s">
        <v>2686</v>
      </c>
      <c r="AJ412" s="53" t="s">
        <v>1591</v>
      </c>
    </row>
    <row r="413" spans="1:36" s="3" customFormat="1" ht="96" x14ac:dyDescent="0.25">
      <c r="A413" s="17" t="s">
        <v>1823</v>
      </c>
      <c r="B413" s="18" t="s">
        <v>2280</v>
      </c>
      <c r="C413" s="76" t="s">
        <v>6493</v>
      </c>
      <c r="D413" s="45" t="s">
        <v>6494</v>
      </c>
      <c r="E413" s="78" t="s">
        <v>6495</v>
      </c>
      <c r="F413" s="79" t="s">
        <v>6485</v>
      </c>
      <c r="G413" s="80">
        <v>113550603.08</v>
      </c>
      <c r="H413" s="80">
        <v>5976347.5300000003</v>
      </c>
      <c r="I413" s="78" t="s">
        <v>6496</v>
      </c>
      <c r="J413" s="79" t="s">
        <v>6497</v>
      </c>
      <c r="K413" s="81" t="s">
        <v>493</v>
      </c>
      <c r="L413" s="82">
        <v>41643</v>
      </c>
      <c r="M413" s="83">
        <v>42363</v>
      </c>
      <c r="N413" s="80">
        <v>54926563.020000003</v>
      </c>
      <c r="O413" s="82" t="s">
        <v>6498</v>
      </c>
      <c r="P413" s="84" t="s">
        <v>46</v>
      </c>
      <c r="Q413" s="80">
        <v>0</v>
      </c>
      <c r="R413" s="80">
        <v>54926563.020000003</v>
      </c>
      <c r="S413" s="80" t="s">
        <v>645</v>
      </c>
      <c r="T413" s="81" t="s">
        <v>52</v>
      </c>
      <c r="U413" s="80"/>
      <c r="V413" s="80"/>
      <c r="W413" s="80"/>
      <c r="X413" s="80">
        <v>2087846.57</v>
      </c>
      <c r="Y413" s="76" t="s">
        <v>6499</v>
      </c>
      <c r="Z413" s="19" t="s">
        <v>7038</v>
      </c>
      <c r="AA413" s="28" t="s">
        <v>8431</v>
      </c>
      <c r="AB413" s="56">
        <v>43405</v>
      </c>
      <c r="AC413" s="28" t="s">
        <v>7936</v>
      </c>
      <c r="AD413" s="28" t="s">
        <v>8432</v>
      </c>
      <c r="AE413" s="54"/>
      <c r="AF413" s="54"/>
      <c r="AG413" s="54" t="s">
        <v>7368</v>
      </c>
      <c r="AH413" s="53" t="s">
        <v>1591</v>
      </c>
      <c r="AI413" s="53" t="s">
        <v>2686</v>
      </c>
      <c r="AJ413" s="53" t="s">
        <v>1591</v>
      </c>
    </row>
    <row r="414" spans="1:36" s="3" customFormat="1" ht="84" x14ac:dyDescent="0.25">
      <c r="A414" s="17" t="s">
        <v>1823</v>
      </c>
      <c r="B414" s="18" t="s">
        <v>2280</v>
      </c>
      <c r="C414" s="76" t="s">
        <v>6500</v>
      </c>
      <c r="D414" s="45" t="s">
        <v>6501</v>
      </c>
      <c r="E414" s="78" t="s">
        <v>6502</v>
      </c>
      <c r="F414" s="79" t="s">
        <v>6503</v>
      </c>
      <c r="G414" s="80" t="s">
        <v>6504</v>
      </c>
      <c r="H414" s="80" t="s">
        <v>6505</v>
      </c>
      <c r="I414" s="78" t="s">
        <v>6506</v>
      </c>
      <c r="J414" s="79" t="s">
        <v>6507</v>
      </c>
      <c r="K414" s="81" t="s">
        <v>6508</v>
      </c>
      <c r="L414" s="82">
        <v>39760</v>
      </c>
      <c r="M414" s="83">
        <v>40060</v>
      </c>
      <c r="N414" s="80">
        <v>15991869.24</v>
      </c>
      <c r="O414" s="82" t="s">
        <v>6509</v>
      </c>
      <c r="P414" s="84" t="s">
        <v>6510</v>
      </c>
      <c r="Q414" s="80">
        <v>2370545.589999998</v>
      </c>
      <c r="R414" s="80">
        <v>18362414.829999998</v>
      </c>
      <c r="S414" s="80">
        <v>2715669.5</v>
      </c>
      <c r="T414" s="81" t="s">
        <v>52</v>
      </c>
      <c r="U414" s="80"/>
      <c r="V414" s="80"/>
      <c r="W414" s="80"/>
      <c r="X414" s="80">
        <v>17696418.91</v>
      </c>
      <c r="Y414" s="76" t="s">
        <v>6353</v>
      </c>
      <c r="Z414" s="19" t="s">
        <v>7038</v>
      </c>
      <c r="AA414" s="28" t="s">
        <v>8431</v>
      </c>
      <c r="AB414" s="56">
        <v>43405</v>
      </c>
      <c r="AC414" s="28" t="s">
        <v>7936</v>
      </c>
      <c r="AD414" s="28" t="s">
        <v>8432</v>
      </c>
      <c r="AE414" s="54"/>
      <c r="AF414" s="54"/>
      <c r="AG414" s="101" t="s">
        <v>7368</v>
      </c>
      <c r="AH414" s="53" t="s">
        <v>1591</v>
      </c>
      <c r="AI414" s="53" t="s">
        <v>2686</v>
      </c>
      <c r="AJ414" s="53" t="s">
        <v>1591</v>
      </c>
    </row>
    <row r="415" spans="1:36" s="3" customFormat="1" ht="72" x14ac:dyDescent="0.25">
      <c r="A415" s="17" t="s">
        <v>1823</v>
      </c>
      <c r="B415" s="18" t="s">
        <v>2280</v>
      </c>
      <c r="C415" s="76" t="s">
        <v>6511</v>
      </c>
      <c r="D415" s="45" t="s">
        <v>6512</v>
      </c>
      <c r="E415" s="78" t="s">
        <v>6513</v>
      </c>
      <c r="F415" s="79" t="s">
        <v>6485</v>
      </c>
      <c r="G415" s="80">
        <v>3790000</v>
      </c>
      <c r="H415" s="80">
        <v>450000</v>
      </c>
      <c r="I415" s="78" t="s">
        <v>6514</v>
      </c>
      <c r="J415" s="79" t="s">
        <v>6515</v>
      </c>
      <c r="K415" s="81" t="s">
        <v>6516</v>
      </c>
      <c r="L415" s="82">
        <v>39791</v>
      </c>
      <c r="M415" s="83">
        <v>40151</v>
      </c>
      <c r="N415" s="80">
        <v>8882135.7699999996</v>
      </c>
      <c r="O415" s="82" t="s">
        <v>6517</v>
      </c>
      <c r="P415" s="84" t="s">
        <v>6518</v>
      </c>
      <c r="Q415" s="80">
        <v>3140971.1500000004</v>
      </c>
      <c r="R415" s="80">
        <v>12023106.92</v>
      </c>
      <c r="S415" s="80">
        <v>1446588.28</v>
      </c>
      <c r="T415" s="81" t="s">
        <v>52</v>
      </c>
      <c r="U415" s="80"/>
      <c r="V415" s="80"/>
      <c r="W415" s="80"/>
      <c r="X415" s="80">
        <v>8437971.6400000006</v>
      </c>
      <c r="Y415" s="76" t="s">
        <v>6499</v>
      </c>
      <c r="Z415" s="19" t="s">
        <v>7038</v>
      </c>
      <c r="AA415" s="28" t="s">
        <v>8431</v>
      </c>
      <c r="AB415" s="56">
        <v>43405</v>
      </c>
      <c r="AC415" s="28" t="s">
        <v>7936</v>
      </c>
      <c r="AD415" s="28" t="s">
        <v>8432</v>
      </c>
      <c r="AE415" s="54"/>
      <c r="AF415" s="54"/>
      <c r="AG415" s="101" t="s">
        <v>7368</v>
      </c>
      <c r="AH415" s="53" t="s">
        <v>1591</v>
      </c>
      <c r="AI415" s="53" t="s">
        <v>2686</v>
      </c>
      <c r="AJ415" s="53" t="s">
        <v>1591</v>
      </c>
    </row>
    <row r="416" spans="1:36" s="3" customFormat="1" ht="84" x14ac:dyDescent="0.25">
      <c r="A416" s="17" t="s">
        <v>1823</v>
      </c>
      <c r="B416" s="18" t="s">
        <v>2280</v>
      </c>
      <c r="C416" s="76" t="s">
        <v>6519</v>
      </c>
      <c r="D416" s="45" t="s">
        <v>6520</v>
      </c>
      <c r="E416" s="78" t="s">
        <v>6495</v>
      </c>
      <c r="F416" s="79" t="s">
        <v>6485</v>
      </c>
      <c r="G416" s="80">
        <v>113550603.08</v>
      </c>
      <c r="H416" s="80">
        <v>5976347.5300000003</v>
      </c>
      <c r="I416" s="78" t="s">
        <v>6521</v>
      </c>
      <c r="J416" s="79" t="s">
        <v>6522</v>
      </c>
      <c r="K416" s="81" t="s">
        <v>6523</v>
      </c>
      <c r="L416" s="82">
        <v>41676</v>
      </c>
      <c r="M416" s="83">
        <v>42756</v>
      </c>
      <c r="N416" s="80">
        <v>9038807</v>
      </c>
      <c r="O416" s="82">
        <v>42887</v>
      </c>
      <c r="P416" s="84" t="s">
        <v>5090</v>
      </c>
      <c r="Q416" s="80">
        <v>903048.52999999933</v>
      </c>
      <c r="R416" s="80">
        <v>9941855.5299999993</v>
      </c>
      <c r="S416" s="80" t="s">
        <v>6524</v>
      </c>
      <c r="T416" s="81" t="s">
        <v>52</v>
      </c>
      <c r="U416" s="80">
        <v>965455.95</v>
      </c>
      <c r="V416" s="80"/>
      <c r="W416" s="80"/>
      <c r="X416" s="80">
        <v>3806681.37</v>
      </c>
      <c r="Y416" s="76" t="s">
        <v>202</v>
      </c>
      <c r="Z416" s="19" t="s">
        <v>7038</v>
      </c>
      <c r="AA416" s="28" t="s">
        <v>8431</v>
      </c>
      <c r="AB416" s="56">
        <v>43405</v>
      </c>
      <c r="AC416" s="28" t="s">
        <v>7936</v>
      </c>
      <c r="AD416" s="28" t="s">
        <v>8432</v>
      </c>
      <c r="AE416" s="54"/>
      <c r="AF416" s="54"/>
      <c r="AG416" s="101" t="s">
        <v>7368</v>
      </c>
      <c r="AH416" s="53" t="s">
        <v>1591</v>
      </c>
      <c r="AI416" s="53" t="s">
        <v>2686</v>
      </c>
      <c r="AJ416" s="53" t="s">
        <v>1591</v>
      </c>
    </row>
    <row r="417" spans="1:36" s="3" customFormat="1" ht="108" x14ac:dyDescent="0.25">
      <c r="A417" s="35" t="s">
        <v>2706</v>
      </c>
      <c r="B417" s="34" t="s">
        <v>2707</v>
      </c>
      <c r="C417" s="76"/>
      <c r="D417" s="43" t="s">
        <v>6525</v>
      </c>
      <c r="E417" s="78"/>
      <c r="F417" s="36"/>
      <c r="G417" s="80"/>
      <c r="H417" s="80"/>
      <c r="I417" s="36" t="s">
        <v>283</v>
      </c>
      <c r="J417" s="34" t="s">
        <v>6526</v>
      </c>
      <c r="K417" s="37" t="s">
        <v>6527</v>
      </c>
      <c r="L417" s="38">
        <v>41729</v>
      </c>
      <c r="M417" s="39">
        <v>41969</v>
      </c>
      <c r="N417" s="42">
        <v>8753474.4399999995</v>
      </c>
      <c r="O417" s="85">
        <v>41973</v>
      </c>
      <c r="P417" s="86">
        <v>42209</v>
      </c>
      <c r="Q417" s="41">
        <v>1007081.96</v>
      </c>
      <c r="R417" s="41">
        <v>9760556.3999999985</v>
      </c>
      <c r="S417" s="80"/>
      <c r="T417" s="81"/>
      <c r="U417" s="80"/>
      <c r="V417" s="80"/>
      <c r="W417" s="42"/>
      <c r="X417" s="42"/>
      <c r="Y417" s="34" t="s">
        <v>4321</v>
      </c>
      <c r="Z417" s="19" t="s">
        <v>7038</v>
      </c>
      <c r="AA417" s="28" t="s">
        <v>8469</v>
      </c>
      <c r="AB417" s="56">
        <v>43410</v>
      </c>
      <c r="AC417" s="28" t="s">
        <v>7414</v>
      </c>
      <c r="AD417" s="28" t="s">
        <v>7415</v>
      </c>
      <c r="AE417" s="54" t="s">
        <v>7416</v>
      </c>
      <c r="AF417" s="54"/>
      <c r="AG417" s="54" t="s">
        <v>7417</v>
      </c>
      <c r="AH417" s="53" t="s">
        <v>1591</v>
      </c>
      <c r="AI417" s="53" t="s">
        <v>2686</v>
      </c>
      <c r="AJ417" s="53" t="s">
        <v>1591</v>
      </c>
    </row>
    <row r="418" spans="1:36" s="3" customFormat="1" ht="72" x14ac:dyDescent="0.25">
      <c r="A418" s="35" t="s">
        <v>2706</v>
      </c>
      <c r="B418" s="34" t="s">
        <v>2707</v>
      </c>
      <c r="C418" s="76"/>
      <c r="D418" s="43" t="s">
        <v>6529</v>
      </c>
      <c r="E418" s="78"/>
      <c r="F418" s="36"/>
      <c r="G418" s="80"/>
      <c r="H418" s="80"/>
      <c r="I418" s="36" t="s">
        <v>6301</v>
      </c>
      <c r="J418" s="34" t="s">
        <v>6530</v>
      </c>
      <c r="K418" s="37" t="s">
        <v>1245</v>
      </c>
      <c r="L418" s="38">
        <v>41582</v>
      </c>
      <c r="M418" s="39">
        <v>41702</v>
      </c>
      <c r="N418" s="42">
        <v>1031228.39</v>
      </c>
      <c r="O418" s="85"/>
      <c r="P418" s="86">
        <v>41702</v>
      </c>
      <c r="Q418" s="41"/>
      <c r="R418" s="41">
        <v>1031228.39</v>
      </c>
      <c r="S418" s="80"/>
      <c r="T418" s="81"/>
      <c r="U418" s="80"/>
      <c r="V418" s="80"/>
      <c r="W418" s="42"/>
      <c r="X418" s="42"/>
      <c r="Y418" s="34" t="s">
        <v>4321</v>
      </c>
      <c r="Z418" s="19" t="s">
        <v>7038</v>
      </c>
      <c r="AA418" s="28" t="s">
        <v>8469</v>
      </c>
      <c r="AB418" s="56">
        <v>43410</v>
      </c>
      <c r="AC418" s="28" t="s">
        <v>7414</v>
      </c>
      <c r="AD418" s="28" t="s">
        <v>7415</v>
      </c>
      <c r="AE418" s="54" t="s">
        <v>7418</v>
      </c>
      <c r="AF418" s="54"/>
      <c r="AG418" s="54" t="s">
        <v>7419</v>
      </c>
      <c r="AH418" s="53" t="s">
        <v>1591</v>
      </c>
      <c r="AI418" s="53" t="s">
        <v>2686</v>
      </c>
      <c r="AJ418" s="53" t="s">
        <v>1591</v>
      </c>
    </row>
    <row r="419" spans="1:36" s="3" customFormat="1" ht="48" x14ac:dyDescent="0.25">
      <c r="A419" s="35" t="s">
        <v>2706</v>
      </c>
      <c r="B419" s="34" t="s">
        <v>2707</v>
      </c>
      <c r="C419" s="76"/>
      <c r="D419" s="43" t="s">
        <v>6531</v>
      </c>
      <c r="E419" s="78"/>
      <c r="F419" s="36"/>
      <c r="G419" s="80"/>
      <c r="H419" s="80"/>
      <c r="I419" s="36" t="s">
        <v>1170</v>
      </c>
      <c r="J419" s="34" t="s">
        <v>6528</v>
      </c>
      <c r="K419" s="37" t="s">
        <v>6532</v>
      </c>
      <c r="L419" s="38">
        <v>42067</v>
      </c>
      <c r="M419" s="39">
        <v>42277</v>
      </c>
      <c r="N419" s="42">
        <v>831264.65</v>
      </c>
      <c r="O419" s="85">
        <v>42281</v>
      </c>
      <c r="P419" s="86">
        <v>42397</v>
      </c>
      <c r="Q419" s="41"/>
      <c r="R419" s="41">
        <v>831264.65</v>
      </c>
      <c r="S419" s="80"/>
      <c r="T419" s="81"/>
      <c r="U419" s="80"/>
      <c r="V419" s="80"/>
      <c r="W419" s="42"/>
      <c r="X419" s="42"/>
      <c r="Y419" s="34" t="s">
        <v>4321</v>
      </c>
      <c r="Z419" s="19" t="s">
        <v>7038</v>
      </c>
      <c r="AA419" s="28" t="s">
        <v>8469</v>
      </c>
      <c r="AB419" s="56">
        <v>43410</v>
      </c>
      <c r="AC419" s="28" t="s">
        <v>7414</v>
      </c>
      <c r="AD419" s="28" t="s">
        <v>7415</v>
      </c>
      <c r="AE419" s="54"/>
      <c r="AF419" s="54"/>
      <c r="AG419" s="54" t="s">
        <v>7420</v>
      </c>
      <c r="AH419" s="53" t="s">
        <v>1591</v>
      </c>
      <c r="AI419" s="53" t="s">
        <v>2686</v>
      </c>
      <c r="AJ419" s="53" t="s">
        <v>1591</v>
      </c>
    </row>
    <row r="420" spans="1:36" s="3" customFormat="1" ht="84" x14ac:dyDescent="0.25">
      <c r="A420" s="17" t="s">
        <v>643</v>
      </c>
      <c r="B420" s="18" t="s">
        <v>37</v>
      </c>
      <c r="C420" s="76" t="s">
        <v>4312</v>
      </c>
      <c r="D420" s="45" t="s">
        <v>4313</v>
      </c>
      <c r="E420" s="78"/>
      <c r="F420" s="79"/>
      <c r="G420" s="80"/>
      <c r="H420" s="80"/>
      <c r="I420" s="78" t="s">
        <v>4314</v>
      </c>
      <c r="J420" s="79" t="s">
        <v>4315</v>
      </c>
      <c r="K420" s="81" t="s">
        <v>4316</v>
      </c>
      <c r="L420" s="82">
        <v>41579</v>
      </c>
      <c r="M420" s="83">
        <v>41849</v>
      </c>
      <c r="N420" s="80">
        <v>2201466.94</v>
      </c>
      <c r="O420" s="82">
        <v>42369</v>
      </c>
      <c r="P420" s="84" t="s">
        <v>4317</v>
      </c>
      <c r="Q420" s="80">
        <v>0</v>
      </c>
      <c r="R420" s="80">
        <v>2201466.94</v>
      </c>
      <c r="S420" s="80"/>
      <c r="T420" s="81" t="s">
        <v>40</v>
      </c>
      <c r="U420" s="80"/>
      <c r="V420" s="80"/>
      <c r="W420" s="80"/>
      <c r="X420" s="80">
        <v>1505503.21</v>
      </c>
      <c r="Y420" s="76" t="s">
        <v>4318</v>
      </c>
      <c r="Z420" s="19" t="s">
        <v>7038</v>
      </c>
      <c r="AA420" s="28"/>
      <c r="AB420" s="56"/>
      <c r="AC420" s="28"/>
      <c r="AD420" s="28"/>
      <c r="AE420" s="54"/>
      <c r="AF420" s="54"/>
      <c r="AG420" s="54"/>
      <c r="AH420" s="53"/>
      <c r="AI420" s="53" t="s">
        <v>1591</v>
      </c>
      <c r="AJ420" s="53" t="s">
        <v>1591</v>
      </c>
    </row>
    <row r="421" spans="1:36" s="3" customFormat="1" ht="36" x14ac:dyDescent="0.25">
      <c r="A421" s="17" t="s">
        <v>643</v>
      </c>
      <c r="B421" s="18" t="s">
        <v>37</v>
      </c>
      <c r="C421" s="76"/>
      <c r="D421" s="43" t="s">
        <v>4319</v>
      </c>
      <c r="E421" s="78"/>
      <c r="F421" s="36"/>
      <c r="G421" s="80"/>
      <c r="H421" s="80"/>
      <c r="I421" s="36" t="s">
        <v>1186</v>
      </c>
      <c r="J421" s="34" t="s">
        <v>4320</v>
      </c>
      <c r="K421" s="37" t="s">
        <v>1697</v>
      </c>
      <c r="L421" s="38">
        <v>41907</v>
      </c>
      <c r="M421" s="39">
        <v>42177</v>
      </c>
      <c r="N421" s="42">
        <v>1845190.4</v>
      </c>
      <c r="O421" s="85"/>
      <c r="P421" s="86"/>
      <c r="Q421" s="41"/>
      <c r="R421" s="41">
        <v>1845190.4</v>
      </c>
      <c r="S421" s="80"/>
      <c r="T421" s="81"/>
      <c r="U421" s="80"/>
      <c r="V421" s="80"/>
      <c r="W421" s="42"/>
      <c r="X421" s="42">
        <v>112388.45</v>
      </c>
      <c r="Y421" s="34" t="s">
        <v>4321</v>
      </c>
      <c r="Z421" s="19" t="s">
        <v>7038</v>
      </c>
      <c r="AA421" s="28"/>
      <c r="AB421" s="56"/>
      <c r="AC421" s="28"/>
      <c r="AD421" s="28"/>
      <c r="AE421" s="54"/>
      <c r="AF421" s="54"/>
      <c r="AG421" s="54"/>
      <c r="AH421" s="53"/>
      <c r="AI421" s="53" t="s">
        <v>1591</v>
      </c>
      <c r="AJ421" s="53" t="s">
        <v>1591</v>
      </c>
    </row>
    <row r="422" spans="1:36" s="3" customFormat="1" ht="36" x14ac:dyDescent="0.25">
      <c r="A422" s="17" t="s">
        <v>643</v>
      </c>
      <c r="B422" s="18" t="s">
        <v>37</v>
      </c>
      <c r="C422" s="76"/>
      <c r="D422" s="43" t="s">
        <v>4325</v>
      </c>
      <c r="E422" s="78"/>
      <c r="F422" s="36"/>
      <c r="G422" s="80"/>
      <c r="H422" s="80"/>
      <c r="I422" s="36" t="s">
        <v>1186</v>
      </c>
      <c r="J422" s="34" t="s">
        <v>4320</v>
      </c>
      <c r="K422" s="37" t="s">
        <v>1711</v>
      </c>
      <c r="L422" s="38">
        <v>41890</v>
      </c>
      <c r="M422" s="39">
        <v>42255</v>
      </c>
      <c r="N422" s="42">
        <v>1054271.3400000001</v>
      </c>
      <c r="O422" s="85">
        <v>0</v>
      </c>
      <c r="P422" s="86"/>
      <c r="Q422" s="41"/>
      <c r="R422" s="41">
        <v>1054271.3400000001</v>
      </c>
      <c r="S422" s="80"/>
      <c r="T422" s="81"/>
      <c r="U422" s="80"/>
      <c r="V422" s="80"/>
      <c r="W422" s="42"/>
      <c r="X422" s="42"/>
      <c r="Y422" s="34" t="s">
        <v>4321</v>
      </c>
      <c r="Z422" s="19" t="s">
        <v>7038</v>
      </c>
      <c r="AA422" s="28"/>
      <c r="AB422" s="56"/>
      <c r="AC422" s="28"/>
      <c r="AD422" s="28"/>
      <c r="AE422" s="54"/>
      <c r="AF422" s="54"/>
      <c r="AG422" s="54"/>
      <c r="AH422" s="53"/>
      <c r="AI422" s="53" t="s">
        <v>1591</v>
      </c>
      <c r="AJ422" s="53" t="s">
        <v>1591</v>
      </c>
    </row>
    <row r="423" spans="1:36" s="3" customFormat="1" ht="36" x14ac:dyDescent="0.25">
      <c r="A423" s="17" t="s">
        <v>643</v>
      </c>
      <c r="B423" s="18" t="s">
        <v>37</v>
      </c>
      <c r="C423" s="76"/>
      <c r="D423" s="43" t="s">
        <v>4326</v>
      </c>
      <c r="E423" s="78"/>
      <c r="F423" s="36"/>
      <c r="G423" s="80"/>
      <c r="H423" s="80"/>
      <c r="I423" s="36" t="s">
        <v>4327</v>
      </c>
      <c r="J423" s="34" t="s">
        <v>4328</v>
      </c>
      <c r="K423" s="37" t="s">
        <v>2433</v>
      </c>
      <c r="L423" s="38">
        <v>41862</v>
      </c>
      <c r="M423" s="39">
        <v>42102</v>
      </c>
      <c r="N423" s="42">
        <v>797611.83</v>
      </c>
      <c r="O423" s="85"/>
      <c r="P423" s="86">
        <v>42102</v>
      </c>
      <c r="Q423" s="41">
        <v>41611.26</v>
      </c>
      <c r="R423" s="41">
        <v>839223.09</v>
      </c>
      <c r="S423" s="80"/>
      <c r="T423" s="81"/>
      <c r="U423" s="80"/>
      <c r="V423" s="80"/>
      <c r="W423" s="42"/>
      <c r="X423" s="42">
        <v>78063.039999999994</v>
      </c>
      <c r="Y423" s="34" t="s">
        <v>4321</v>
      </c>
      <c r="Z423" s="19" t="s">
        <v>7038</v>
      </c>
      <c r="AA423" s="28"/>
      <c r="AB423" s="56"/>
      <c r="AC423" s="28"/>
      <c r="AD423" s="28"/>
      <c r="AE423" s="54"/>
      <c r="AF423" s="54"/>
      <c r="AG423" s="54"/>
      <c r="AH423" s="53"/>
      <c r="AI423" s="53" t="s">
        <v>1591</v>
      </c>
      <c r="AJ423" s="53" t="s">
        <v>1591</v>
      </c>
    </row>
    <row r="424" spans="1:36" s="3" customFormat="1" ht="36" x14ac:dyDescent="0.25">
      <c r="A424" s="17" t="s">
        <v>643</v>
      </c>
      <c r="B424" s="18" t="s">
        <v>37</v>
      </c>
      <c r="C424" s="76"/>
      <c r="D424" s="43" t="s">
        <v>4329</v>
      </c>
      <c r="E424" s="78"/>
      <c r="F424" s="36"/>
      <c r="G424" s="80"/>
      <c r="H424" s="80"/>
      <c r="I424" s="36" t="s">
        <v>649</v>
      </c>
      <c r="J424" s="34" t="s">
        <v>4330</v>
      </c>
      <c r="K424" s="37" t="s">
        <v>4331</v>
      </c>
      <c r="L424" s="38">
        <v>41372</v>
      </c>
      <c r="M424" s="39">
        <v>41642</v>
      </c>
      <c r="N424" s="42">
        <v>543303.68000000005</v>
      </c>
      <c r="O424" s="85" t="s">
        <v>4332</v>
      </c>
      <c r="P424" s="86">
        <v>42032</v>
      </c>
      <c r="Q424" s="41">
        <v>131071.61</v>
      </c>
      <c r="R424" s="41">
        <v>674375.29</v>
      </c>
      <c r="S424" s="80"/>
      <c r="T424" s="81"/>
      <c r="U424" s="80"/>
      <c r="V424" s="80"/>
      <c r="W424" s="42"/>
      <c r="X424" s="42">
        <v>674375.29</v>
      </c>
      <c r="Y424" s="34" t="s">
        <v>4321</v>
      </c>
      <c r="Z424" s="19" t="s">
        <v>7038</v>
      </c>
      <c r="AA424" s="28"/>
      <c r="AB424" s="56"/>
      <c r="AC424" s="28"/>
      <c r="AD424" s="28"/>
      <c r="AE424" s="54"/>
      <c r="AF424" s="54"/>
      <c r="AG424" s="54"/>
      <c r="AH424" s="53"/>
      <c r="AI424" s="53" t="s">
        <v>1591</v>
      </c>
      <c r="AJ424" s="53" t="s">
        <v>1591</v>
      </c>
    </row>
    <row r="425" spans="1:36" s="3" customFormat="1" ht="36" x14ac:dyDescent="0.25">
      <c r="A425" s="17" t="s">
        <v>643</v>
      </c>
      <c r="B425" s="18" t="s">
        <v>37</v>
      </c>
      <c r="C425" s="76"/>
      <c r="D425" s="43" t="s">
        <v>4334</v>
      </c>
      <c r="E425" s="78"/>
      <c r="F425" s="36"/>
      <c r="G425" s="80"/>
      <c r="H425" s="80"/>
      <c r="I425" s="36" t="s">
        <v>4335</v>
      </c>
      <c r="J425" s="34" t="s">
        <v>4336</v>
      </c>
      <c r="K425" s="37" t="s">
        <v>4337</v>
      </c>
      <c r="L425" s="38">
        <v>41589</v>
      </c>
      <c r="M425" s="39">
        <v>41889</v>
      </c>
      <c r="N425" s="42">
        <v>502994.29</v>
      </c>
      <c r="O425" s="85" t="s">
        <v>2797</v>
      </c>
      <c r="P425" s="86">
        <v>42189</v>
      </c>
      <c r="Q425" s="41"/>
      <c r="R425" s="41">
        <v>502994.29</v>
      </c>
      <c r="S425" s="80"/>
      <c r="T425" s="81"/>
      <c r="U425" s="80"/>
      <c r="V425" s="80"/>
      <c r="W425" s="42"/>
      <c r="X425" s="42">
        <v>66652.17</v>
      </c>
      <c r="Y425" s="34" t="s">
        <v>4321</v>
      </c>
      <c r="Z425" s="19" t="s">
        <v>7038</v>
      </c>
      <c r="AA425" s="28"/>
      <c r="AB425" s="56"/>
      <c r="AC425" s="28"/>
      <c r="AD425" s="28"/>
      <c r="AE425" s="54"/>
      <c r="AF425" s="54"/>
      <c r="AG425" s="54"/>
      <c r="AH425" s="53"/>
      <c r="AI425" s="53" t="s">
        <v>1591</v>
      </c>
      <c r="AJ425" s="53" t="s">
        <v>1591</v>
      </c>
    </row>
    <row r="426" spans="1:36" s="3" customFormat="1" ht="36" x14ac:dyDescent="0.25">
      <c r="A426" s="17" t="s">
        <v>643</v>
      </c>
      <c r="B426" s="18" t="s">
        <v>37</v>
      </c>
      <c r="C426" s="76"/>
      <c r="D426" s="43" t="s">
        <v>4338</v>
      </c>
      <c r="E426" s="78"/>
      <c r="F426" s="36"/>
      <c r="G426" s="80"/>
      <c r="H426" s="80"/>
      <c r="I426" s="36" t="s">
        <v>4335</v>
      </c>
      <c r="J426" s="34" t="s">
        <v>4336</v>
      </c>
      <c r="K426" s="37" t="s">
        <v>4339</v>
      </c>
      <c r="L426" s="38">
        <v>41596</v>
      </c>
      <c r="M426" s="39">
        <v>41776</v>
      </c>
      <c r="N426" s="42">
        <v>313531</v>
      </c>
      <c r="O426" s="85" t="s">
        <v>2797</v>
      </c>
      <c r="P426" s="86">
        <v>41956</v>
      </c>
      <c r="Q426" s="41"/>
      <c r="R426" s="41">
        <v>313531</v>
      </c>
      <c r="S426" s="80"/>
      <c r="T426" s="81"/>
      <c r="U426" s="80"/>
      <c r="V426" s="80"/>
      <c r="W426" s="42"/>
      <c r="X426" s="42">
        <v>40582.49</v>
      </c>
      <c r="Y426" s="34" t="s">
        <v>4321</v>
      </c>
      <c r="Z426" s="19" t="s">
        <v>7038</v>
      </c>
      <c r="AA426" s="28"/>
      <c r="AB426" s="56"/>
      <c r="AC426" s="28"/>
      <c r="AD426" s="28"/>
      <c r="AE426" s="54"/>
      <c r="AF426" s="54"/>
      <c r="AG426" s="54"/>
      <c r="AH426" s="53"/>
      <c r="AI426" s="53" t="s">
        <v>1591</v>
      </c>
      <c r="AJ426" s="53" t="s">
        <v>1591</v>
      </c>
    </row>
    <row r="427" spans="1:36" s="3" customFormat="1" ht="36" x14ac:dyDescent="0.25">
      <c r="A427" s="17" t="s">
        <v>643</v>
      </c>
      <c r="B427" s="18" t="s">
        <v>37</v>
      </c>
      <c r="C427" s="76" t="s">
        <v>4340</v>
      </c>
      <c r="D427" s="45" t="s">
        <v>4341</v>
      </c>
      <c r="E427" s="78"/>
      <c r="F427" s="79"/>
      <c r="G427" s="80"/>
      <c r="H427" s="80"/>
      <c r="I427" s="78" t="s">
        <v>4342</v>
      </c>
      <c r="J427" s="79" t="s">
        <v>4343</v>
      </c>
      <c r="K427" s="81" t="s">
        <v>4344</v>
      </c>
      <c r="L427" s="82">
        <v>41925</v>
      </c>
      <c r="M427" s="83">
        <v>41985</v>
      </c>
      <c r="N427" s="80">
        <v>148385.57999999999</v>
      </c>
      <c r="O427" s="82"/>
      <c r="P427" s="84" t="s">
        <v>250</v>
      </c>
      <c r="Q427" s="80">
        <v>0</v>
      </c>
      <c r="R427" s="80">
        <v>148385.57999999999</v>
      </c>
      <c r="S427" s="80"/>
      <c r="T427" s="81" t="s">
        <v>40</v>
      </c>
      <c r="U427" s="80"/>
      <c r="V427" s="80"/>
      <c r="W427" s="80"/>
      <c r="X427" s="80">
        <v>129096.64</v>
      </c>
      <c r="Y427" s="76" t="s">
        <v>646</v>
      </c>
      <c r="Z427" s="19" t="s">
        <v>7038</v>
      </c>
      <c r="AA427" s="28"/>
      <c r="AB427" s="56"/>
      <c r="AC427" s="28"/>
      <c r="AD427" s="28"/>
      <c r="AE427" s="54"/>
      <c r="AF427" s="54"/>
      <c r="AG427" s="54"/>
      <c r="AH427" s="53"/>
      <c r="AI427" s="53" t="s">
        <v>1591</v>
      </c>
      <c r="AJ427" s="53" t="s">
        <v>1591</v>
      </c>
    </row>
    <row r="428" spans="1:36" s="3" customFormat="1" ht="48" x14ac:dyDescent="0.25">
      <c r="A428" s="17" t="s">
        <v>643</v>
      </c>
      <c r="B428" s="18" t="s">
        <v>37</v>
      </c>
      <c r="C428" s="76" t="s">
        <v>4346</v>
      </c>
      <c r="D428" s="45" t="s">
        <v>4347</v>
      </c>
      <c r="E428" s="78"/>
      <c r="F428" s="79"/>
      <c r="G428" s="80"/>
      <c r="H428" s="80"/>
      <c r="I428" s="78" t="s">
        <v>654</v>
      </c>
      <c r="J428" s="79" t="s">
        <v>4345</v>
      </c>
      <c r="K428" s="81" t="s">
        <v>552</v>
      </c>
      <c r="L428" s="82">
        <v>42663</v>
      </c>
      <c r="M428" s="83">
        <v>43028</v>
      </c>
      <c r="N428" s="80">
        <v>147444</v>
      </c>
      <c r="O428" s="82"/>
      <c r="P428" s="84"/>
      <c r="Q428" s="80">
        <v>0</v>
      </c>
      <c r="R428" s="80">
        <v>147444</v>
      </c>
      <c r="S428" s="80"/>
      <c r="T428" s="81" t="s">
        <v>40</v>
      </c>
      <c r="U428" s="80">
        <v>24574</v>
      </c>
      <c r="V428" s="80"/>
      <c r="W428" s="80"/>
      <c r="X428" s="80">
        <v>24574</v>
      </c>
      <c r="Y428" s="76" t="s">
        <v>644</v>
      </c>
      <c r="Z428" s="19" t="s">
        <v>7038</v>
      </c>
      <c r="AA428" s="28"/>
      <c r="AB428" s="56"/>
      <c r="AC428" s="28"/>
      <c r="AD428" s="28"/>
      <c r="AE428" s="54"/>
      <c r="AF428" s="54"/>
      <c r="AG428" s="54"/>
      <c r="AH428" s="53"/>
      <c r="AI428" s="53" t="s">
        <v>1591</v>
      </c>
      <c r="AJ428" s="53" t="s">
        <v>1591</v>
      </c>
    </row>
    <row r="429" spans="1:36" s="3" customFormat="1" ht="36" x14ac:dyDescent="0.25">
      <c r="A429" s="17" t="s">
        <v>643</v>
      </c>
      <c r="B429" s="18" t="s">
        <v>37</v>
      </c>
      <c r="C429" s="76" t="s">
        <v>4348</v>
      </c>
      <c r="D429" s="45" t="s">
        <v>4349</v>
      </c>
      <c r="E429" s="78"/>
      <c r="F429" s="79"/>
      <c r="G429" s="80"/>
      <c r="H429" s="80"/>
      <c r="I429" s="78" t="s">
        <v>4323</v>
      </c>
      <c r="J429" s="79" t="s">
        <v>4324</v>
      </c>
      <c r="K429" s="81" t="s">
        <v>656</v>
      </c>
      <c r="L429" s="82">
        <v>42371</v>
      </c>
      <c r="M429" s="83">
        <v>42431</v>
      </c>
      <c r="N429" s="80">
        <v>145908.82</v>
      </c>
      <c r="O429" s="82"/>
      <c r="P429" s="84"/>
      <c r="Q429" s="80">
        <v>0</v>
      </c>
      <c r="R429" s="80">
        <v>145908.82</v>
      </c>
      <c r="S429" s="80"/>
      <c r="T429" s="81" t="s">
        <v>40</v>
      </c>
      <c r="U429" s="80"/>
      <c r="V429" s="80"/>
      <c r="W429" s="80"/>
      <c r="X429" s="80"/>
      <c r="Y429" s="76" t="s">
        <v>4350</v>
      </c>
      <c r="Z429" s="19" t="s">
        <v>7038</v>
      </c>
      <c r="AA429" s="28"/>
      <c r="AB429" s="56"/>
      <c r="AC429" s="28"/>
      <c r="AD429" s="28"/>
      <c r="AE429" s="54"/>
      <c r="AF429" s="54"/>
      <c r="AG429" s="54"/>
      <c r="AH429" s="53"/>
      <c r="AI429" s="53" t="s">
        <v>1591</v>
      </c>
      <c r="AJ429" s="53" t="s">
        <v>1591</v>
      </c>
    </row>
    <row r="430" spans="1:36" s="3" customFormat="1" ht="36" x14ac:dyDescent="0.25">
      <c r="A430" s="17" t="s">
        <v>643</v>
      </c>
      <c r="B430" s="18" t="s">
        <v>37</v>
      </c>
      <c r="C430" s="76"/>
      <c r="D430" s="43" t="s">
        <v>4351</v>
      </c>
      <c r="E430" s="78"/>
      <c r="F430" s="36"/>
      <c r="G430" s="80"/>
      <c r="H430" s="80"/>
      <c r="I430" s="36" t="s">
        <v>651</v>
      </c>
      <c r="J430" s="34" t="s">
        <v>4352</v>
      </c>
      <c r="K430" s="37" t="s">
        <v>4353</v>
      </c>
      <c r="L430" s="38">
        <v>41529</v>
      </c>
      <c r="M430" s="39">
        <v>41799</v>
      </c>
      <c r="N430" s="42">
        <v>141420.62</v>
      </c>
      <c r="O430" s="85" t="s">
        <v>2798</v>
      </c>
      <c r="P430" s="86">
        <v>42069</v>
      </c>
      <c r="Q430" s="41"/>
      <c r="R430" s="41">
        <v>141420.62</v>
      </c>
      <c r="S430" s="80"/>
      <c r="T430" s="81"/>
      <c r="U430" s="80"/>
      <c r="V430" s="80"/>
      <c r="W430" s="42"/>
      <c r="X430" s="42">
        <v>48746.59</v>
      </c>
      <c r="Y430" s="34" t="s">
        <v>4321</v>
      </c>
      <c r="Z430" s="19" t="s">
        <v>7038</v>
      </c>
      <c r="AA430" s="28"/>
      <c r="AB430" s="56"/>
      <c r="AC430" s="28"/>
      <c r="AD430" s="28"/>
      <c r="AE430" s="54"/>
      <c r="AF430" s="54"/>
      <c r="AG430" s="54"/>
      <c r="AH430" s="53"/>
      <c r="AI430" s="53" t="s">
        <v>1591</v>
      </c>
      <c r="AJ430" s="53" t="s">
        <v>1591</v>
      </c>
    </row>
    <row r="431" spans="1:36" s="3" customFormat="1" ht="36" x14ac:dyDescent="0.25">
      <c r="A431" s="17" t="s">
        <v>643</v>
      </c>
      <c r="B431" s="18" t="s">
        <v>37</v>
      </c>
      <c r="C431" s="76" t="s">
        <v>4354</v>
      </c>
      <c r="D431" s="45" t="s">
        <v>4355</v>
      </c>
      <c r="E431" s="78"/>
      <c r="F431" s="79"/>
      <c r="G431" s="80"/>
      <c r="H431" s="80"/>
      <c r="I431" s="78" t="s">
        <v>4356</v>
      </c>
      <c r="J431" s="79" t="s">
        <v>4357</v>
      </c>
      <c r="K431" s="81" t="s">
        <v>647</v>
      </c>
      <c r="L431" s="82">
        <v>41764</v>
      </c>
      <c r="M431" s="83">
        <v>41884</v>
      </c>
      <c r="N431" s="80">
        <v>128245.05</v>
      </c>
      <c r="O431" s="82"/>
      <c r="P431" s="84" t="s">
        <v>46</v>
      </c>
      <c r="Q431" s="80">
        <v>0</v>
      </c>
      <c r="R431" s="80">
        <v>128245.05</v>
      </c>
      <c r="S431" s="80"/>
      <c r="T431" s="81" t="s">
        <v>40</v>
      </c>
      <c r="U431" s="80"/>
      <c r="V431" s="80"/>
      <c r="W431" s="80"/>
      <c r="X431" s="80">
        <v>22420.75</v>
      </c>
      <c r="Y431" s="76" t="s">
        <v>646</v>
      </c>
      <c r="Z431" s="19" t="s">
        <v>7038</v>
      </c>
      <c r="AA431" s="28"/>
      <c r="AB431" s="56"/>
      <c r="AC431" s="28"/>
      <c r="AD431" s="28"/>
      <c r="AE431" s="54"/>
      <c r="AF431" s="54"/>
      <c r="AG431" s="54"/>
      <c r="AH431" s="53"/>
      <c r="AI431" s="53" t="s">
        <v>1591</v>
      </c>
      <c r="AJ431" s="53" t="s">
        <v>1591</v>
      </c>
    </row>
    <row r="432" spans="1:36" s="3" customFormat="1" ht="36" x14ac:dyDescent="0.25">
      <c r="A432" s="17" t="s">
        <v>643</v>
      </c>
      <c r="B432" s="18" t="s">
        <v>37</v>
      </c>
      <c r="C432" s="76" t="s">
        <v>4358</v>
      </c>
      <c r="D432" s="45" t="s">
        <v>4359</v>
      </c>
      <c r="E432" s="78"/>
      <c r="F432" s="79"/>
      <c r="G432" s="80"/>
      <c r="H432" s="80"/>
      <c r="I432" s="78" t="s">
        <v>4323</v>
      </c>
      <c r="J432" s="79" t="s">
        <v>4324</v>
      </c>
      <c r="K432" s="81" t="s">
        <v>556</v>
      </c>
      <c r="L432" s="82">
        <v>42371</v>
      </c>
      <c r="M432" s="83">
        <v>42431</v>
      </c>
      <c r="N432" s="80">
        <v>121396.18</v>
      </c>
      <c r="O432" s="82"/>
      <c r="P432" s="84"/>
      <c r="Q432" s="80">
        <v>0</v>
      </c>
      <c r="R432" s="80">
        <v>121396.18</v>
      </c>
      <c r="S432" s="80"/>
      <c r="T432" s="81" t="s">
        <v>40</v>
      </c>
      <c r="U432" s="80"/>
      <c r="V432" s="80"/>
      <c r="W432" s="80"/>
      <c r="X432" s="80"/>
      <c r="Y432" s="76" t="s">
        <v>4350</v>
      </c>
      <c r="Z432" s="19" t="s">
        <v>7038</v>
      </c>
      <c r="AA432" s="28"/>
      <c r="AB432" s="56"/>
      <c r="AC432" s="28"/>
      <c r="AD432" s="28"/>
      <c r="AE432" s="54"/>
      <c r="AF432" s="54"/>
      <c r="AG432" s="54"/>
      <c r="AH432" s="53"/>
      <c r="AI432" s="53" t="s">
        <v>1591</v>
      </c>
      <c r="AJ432" s="53" t="s">
        <v>1591</v>
      </c>
    </row>
    <row r="433" spans="1:36" s="3" customFormat="1" ht="36" x14ac:dyDescent="0.25">
      <c r="A433" s="17" t="s">
        <v>643</v>
      </c>
      <c r="B433" s="18" t="s">
        <v>37</v>
      </c>
      <c r="C433" s="76" t="s">
        <v>4360</v>
      </c>
      <c r="D433" s="45" t="s">
        <v>4361</v>
      </c>
      <c r="E433" s="78"/>
      <c r="F433" s="79"/>
      <c r="G433" s="80"/>
      <c r="H433" s="80"/>
      <c r="I433" s="78" t="s">
        <v>4356</v>
      </c>
      <c r="J433" s="79" t="s">
        <v>4357</v>
      </c>
      <c r="K433" s="81" t="s">
        <v>4362</v>
      </c>
      <c r="L433" s="82">
        <v>41576</v>
      </c>
      <c r="M433" s="83">
        <v>41696</v>
      </c>
      <c r="N433" s="80">
        <v>88724.05</v>
      </c>
      <c r="O433" s="82"/>
      <c r="P433" s="84" t="s">
        <v>364</v>
      </c>
      <c r="Q433" s="80">
        <v>20446.550000000003</v>
      </c>
      <c r="R433" s="80">
        <v>109170.6</v>
      </c>
      <c r="S433" s="80"/>
      <c r="T433" s="81" t="s">
        <v>45</v>
      </c>
      <c r="U433" s="80"/>
      <c r="V433" s="80"/>
      <c r="W433" s="80"/>
      <c r="X433" s="80">
        <v>9792.43</v>
      </c>
      <c r="Y433" s="76" t="s">
        <v>646</v>
      </c>
      <c r="Z433" s="19" t="s">
        <v>7038</v>
      </c>
      <c r="AA433" s="28"/>
      <c r="AB433" s="56"/>
      <c r="AC433" s="28"/>
      <c r="AD433" s="28"/>
      <c r="AE433" s="54"/>
      <c r="AF433" s="54"/>
      <c r="AG433" s="54"/>
      <c r="AH433" s="53"/>
      <c r="AI433" s="53" t="s">
        <v>1591</v>
      </c>
      <c r="AJ433" s="53" t="s">
        <v>1591</v>
      </c>
    </row>
    <row r="434" spans="1:36" s="3" customFormat="1" ht="36" x14ac:dyDescent="0.25">
      <c r="A434" s="17" t="s">
        <v>657</v>
      </c>
      <c r="B434" s="18" t="s">
        <v>672</v>
      </c>
      <c r="C434" s="76" t="s">
        <v>673</v>
      </c>
      <c r="D434" s="45" t="s">
        <v>4365</v>
      </c>
      <c r="E434" s="78"/>
      <c r="F434" s="79"/>
      <c r="G434" s="80"/>
      <c r="H434" s="80"/>
      <c r="I434" s="78" t="s">
        <v>4366</v>
      </c>
      <c r="J434" s="79" t="s">
        <v>4367</v>
      </c>
      <c r="K434" s="81" t="s">
        <v>4363</v>
      </c>
      <c r="L434" s="82">
        <v>42564</v>
      </c>
      <c r="M434" s="83"/>
      <c r="N434" s="80">
        <v>70500</v>
      </c>
      <c r="O434" s="82"/>
      <c r="P434" s="84"/>
      <c r="Q434" s="80">
        <v>0</v>
      </c>
      <c r="R434" s="80">
        <v>70500</v>
      </c>
      <c r="S434" s="80"/>
      <c r="T434" s="81" t="s">
        <v>674</v>
      </c>
      <c r="U434" s="80">
        <v>10000</v>
      </c>
      <c r="V434" s="80"/>
      <c r="W434" s="80"/>
      <c r="X434" s="80">
        <v>10000</v>
      </c>
      <c r="Y434" s="76" t="s">
        <v>4364</v>
      </c>
      <c r="Z434" s="19" t="s">
        <v>7038</v>
      </c>
      <c r="AA434" s="28"/>
      <c r="AB434" s="56"/>
      <c r="AC434" s="28"/>
      <c r="AD434" s="28"/>
      <c r="AE434" s="54"/>
      <c r="AF434" s="54"/>
      <c r="AG434" s="54"/>
      <c r="AH434" s="53"/>
      <c r="AI434" s="53" t="s">
        <v>1591</v>
      </c>
      <c r="AJ434" s="53" t="s">
        <v>1591</v>
      </c>
    </row>
    <row r="435" spans="1:36" s="3" customFormat="1" ht="60" x14ac:dyDescent="0.25">
      <c r="A435" s="17" t="s">
        <v>657</v>
      </c>
      <c r="B435" s="18" t="s">
        <v>37</v>
      </c>
      <c r="C435" s="19" t="s">
        <v>3367</v>
      </c>
      <c r="D435" s="45" t="s">
        <v>3368</v>
      </c>
      <c r="E435" s="50" t="s">
        <v>3654</v>
      </c>
      <c r="F435" s="58" t="s">
        <v>874</v>
      </c>
      <c r="G435" s="51">
        <v>791497.12</v>
      </c>
      <c r="H435" s="51">
        <v>133810.87</v>
      </c>
      <c r="I435" s="50" t="s">
        <v>664</v>
      </c>
      <c r="J435" s="58" t="s">
        <v>665</v>
      </c>
      <c r="K435" s="52" t="s">
        <v>3194</v>
      </c>
      <c r="L435" s="59">
        <v>42964</v>
      </c>
      <c r="M435" s="60">
        <f>L435+365</f>
        <v>43329</v>
      </c>
      <c r="N435" s="51">
        <v>839908.38</v>
      </c>
      <c r="O435" s="59" t="s">
        <v>180</v>
      </c>
      <c r="P435" s="59">
        <v>0</v>
      </c>
      <c r="Q435" s="51"/>
      <c r="R435" s="51">
        <f t="shared" ref="R435:R439" si="20">N435+Q435</f>
        <v>839908.38</v>
      </c>
      <c r="S435" s="51"/>
      <c r="T435" s="52" t="s">
        <v>45</v>
      </c>
      <c r="U435" s="51" t="s">
        <v>180</v>
      </c>
      <c r="V435" s="51" t="s">
        <v>180</v>
      </c>
      <c r="W435" s="51"/>
      <c r="X435" s="51"/>
      <c r="Y435" s="19" t="s">
        <v>202</v>
      </c>
      <c r="Z435" s="19"/>
      <c r="AA435" s="28" t="s">
        <v>8470</v>
      </c>
      <c r="AB435" s="56">
        <v>43410</v>
      </c>
      <c r="AC435" s="28" t="s">
        <v>7421</v>
      </c>
      <c r="AD435" s="28" t="s">
        <v>7422</v>
      </c>
      <c r="AE435" s="54" t="s">
        <v>7423</v>
      </c>
      <c r="AF435" s="54"/>
      <c r="AG435" s="54" t="s">
        <v>7424</v>
      </c>
      <c r="AH435" s="53" t="s">
        <v>1591</v>
      </c>
      <c r="AI435" s="53" t="s">
        <v>2686</v>
      </c>
      <c r="AJ435" s="53" t="s">
        <v>1591</v>
      </c>
    </row>
    <row r="436" spans="1:36" s="3" customFormat="1" ht="36" x14ac:dyDescent="0.25">
      <c r="A436" s="17" t="s">
        <v>657</v>
      </c>
      <c r="B436" s="18" t="s">
        <v>37</v>
      </c>
      <c r="C436" s="19" t="s">
        <v>1568</v>
      </c>
      <c r="D436" s="45" t="s">
        <v>3373</v>
      </c>
      <c r="E436" s="50" t="s">
        <v>46</v>
      </c>
      <c r="F436" s="58" t="s">
        <v>2869</v>
      </c>
      <c r="G436" s="51" t="s">
        <v>46</v>
      </c>
      <c r="H436" s="51" t="s">
        <v>46</v>
      </c>
      <c r="I436" s="50" t="s">
        <v>1388</v>
      </c>
      <c r="J436" s="58" t="s">
        <v>3657</v>
      </c>
      <c r="K436" s="52" t="s">
        <v>1068</v>
      </c>
      <c r="L436" s="59">
        <v>42325</v>
      </c>
      <c r="M436" s="60">
        <f>L436+270</f>
        <v>42595</v>
      </c>
      <c r="N436" s="51">
        <v>648318.06000000006</v>
      </c>
      <c r="O436" s="59" t="s">
        <v>46</v>
      </c>
      <c r="P436" s="59">
        <f>M436+270</f>
        <v>42865</v>
      </c>
      <c r="Q436" s="51">
        <v>189213.16</v>
      </c>
      <c r="R436" s="51">
        <f t="shared" si="20"/>
        <v>837531.22000000009</v>
      </c>
      <c r="S436" s="51"/>
      <c r="T436" s="52" t="s">
        <v>52</v>
      </c>
      <c r="U436" s="51">
        <v>74802.2</v>
      </c>
      <c r="V436" s="51">
        <v>74802.2</v>
      </c>
      <c r="W436" s="51">
        <v>74802.2</v>
      </c>
      <c r="X436" s="51">
        <v>695177.89</v>
      </c>
      <c r="Y436" s="19" t="s">
        <v>503</v>
      </c>
      <c r="Z436" s="19"/>
      <c r="AA436" s="28" t="s">
        <v>8470</v>
      </c>
      <c r="AB436" s="56">
        <v>43410</v>
      </c>
      <c r="AC436" s="28" t="s">
        <v>7421</v>
      </c>
      <c r="AD436" s="28" t="s">
        <v>7422</v>
      </c>
      <c r="AE436" s="54" t="s">
        <v>7425</v>
      </c>
      <c r="AF436" s="54"/>
      <c r="AG436" s="54" t="s">
        <v>7426</v>
      </c>
      <c r="AH436" s="53" t="s">
        <v>1591</v>
      </c>
      <c r="AI436" s="53" t="s">
        <v>2686</v>
      </c>
      <c r="AJ436" s="53" t="s">
        <v>1591</v>
      </c>
    </row>
    <row r="437" spans="1:36" s="3" customFormat="1" ht="72" x14ac:dyDescent="0.25">
      <c r="A437" s="17" t="s">
        <v>657</v>
      </c>
      <c r="B437" s="18" t="s">
        <v>37</v>
      </c>
      <c r="C437" s="19" t="s">
        <v>3369</v>
      </c>
      <c r="D437" s="45" t="s">
        <v>3370</v>
      </c>
      <c r="E437" s="50" t="s">
        <v>3655</v>
      </c>
      <c r="F437" s="58" t="s">
        <v>3656</v>
      </c>
      <c r="G437" s="51">
        <v>245288.08</v>
      </c>
      <c r="H437" s="51">
        <v>81427.64</v>
      </c>
      <c r="I437" s="50" t="s">
        <v>671</v>
      </c>
      <c r="J437" s="58" t="s">
        <v>3119</v>
      </c>
      <c r="K437" s="52" t="s">
        <v>3253</v>
      </c>
      <c r="L437" s="59">
        <v>42977</v>
      </c>
      <c r="M437" s="60">
        <f>L437+365</f>
        <v>43342</v>
      </c>
      <c r="N437" s="51">
        <v>326715.71999999997</v>
      </c>
      <c r="O437" s="59" t="s">
        <v>180</v>
      </c>
      <c r="P437" s="59">
        <v>0</v>
      </c>
      <c r="Q437" s="51"/>
      <c r="R437" s="51">
        <f t="shared" si="20"/>
        <v>326715.71999999997</v>
      </c>
      <c r="S437" s="51"/>
      <c r="T437" s="52" t="s">
        <v>45</v>
      </c>
      <c r="U437" s="51" t="s">
        <v>180</v>
      </c>
      <c r="V437" s="51" t="s">
        <v>180</v>
      </c>
      <c r="W437" s="51"/>
      <c r="X437" s="51"/>
      <c r="Y437" s="19" t="s">
        <v>202</v>
      </c>
      <c r="Z437" s="19"/>
      <c r="AA437" s="28" t="s">
        <v>8470</v>
      </c>
      <c r="AB437" s="56">
        <v>43410</v>
      </c>
      <c r="AC437" s="28" t="s">
        <v>7421</v>
      </c>
      <c r="AD437" s="28" t="s">
        <v>7422</v>
      </c>
      <c r="AE437" s="54" t="s">
        <v>7427</v>
      </c>
      <c r="AF437" s="54"/>
      <c r="AG437" s="54" t="s">
        <v>7428</v>
      </c>
      <c r="AH437" s="53" t="s">
        <v>1591</v>
      </c>
      <c r="AI437" s="53" t="s">
        <v>2686</v>
      </c>
      <c r="AJ437" s="53" t="s">
        <v>1591</v>
      </c>
    </row>
    <row r="438" spans="1:36" s="3" customFormat="1" ht="48" x14ac:dyDescent="0.25">
      <c r="A438" s="17" t="s">
        <v>657</v>
      </c>
      <c r="B438" s="18" t="s">
        <v>37</v>
      </c>
      <c r="C438" s="19" t="s">
        <v>3366</v>
      </c>
      <c r="D438" s="45" t="s">
        <v>666</v>
      </c>
      <c r="E438" s="50" t="s">
        <v>180</v>
      </c>
      <c r="F438" s="58" t="s">
        <v>180</v>
      </c>
      <c r="G438" s="51"/>
      <c r="H438" s="51"/>
      <c r="I438" s="50" t="s">
        <v>663</v>
      </c>
      <c r="J438" s="58" t="s">
        <v>3653</v>
      </c>
      <c r="K438" s="52" t="s">
        <v>667</v>
      </c>
      <c r="L438" s="59">
        <v>42177</v>
      </c>
      <c r="M438" s="60">
        <f>L438+240</f>
        <v>42417</v>
      </c>
      <c r="N438" s="51">
        <v>148049</v>
      </c>
      <c r="O438" s="59" t="s">
        <v>180</v>
      </c>
      <c r="P438" s="59">
        <v>0</v>
      </c>
      <c r="Q438" s="51"/>
      <c r="R438" s="51">
        <f t="shared" si="20"/>
        <v>148049</v>
      </c>
      <c r="S438" s="51"/>
      <c r="T438" s="52" t="s">
        <v>45</v>
      </c>
      <c r="U438" s="51">
        <v>17906.189999999999</v>
      </c>
      <c r="V438" s="51" t="s">
        <v>180</v>
      </c>
      <c r="W438" s="51">
        <v>17906.189999999999</v>
      </c>
      <c r="X438" s="51">
        <v>85683.71</v>
      </c>
      <c r="Y438" s="19" t="s">
        <v>202</v>
      </c>
      <c r="Z438" s="19"/>
      <c r="AA438" s="28" t="s">
        <v>8470</v>
      </c>
      <c r="AB438" s="56">
        <v>43410</v>
      </c>
      <c r="AC438" s="28" t="s">
        <v>7421</v>
      </c>
      <c r="AD438" s="28" t="s">
        <v>7422</v>
      </c>
      <c r="AE438" s="54" t="s">
        <v>7429</v>
      </c>
      <c r="AF438" s="54"/>
      <c r="AG438" s="54" t="s">
        <v>7430</v>
      </c>
      <c r="AH438" s="53" t="s">
        <v>1591</v>
      </c>
      <c r="AI438" s="53" t="s">
        <v>2686</v>
      </c>
      <c r="AJ438" s="53" t="s">
        <v>1591</v>
      </c>
    </row>
    <row r="439" spans="1:36" s="3" customFormat="1" ht="48" x14ac:dyDescent="0.25">
      <c r="A439" s="17" t="s">
        <v>657</v>
      </c>
      <c r="B439" s="18" t="s">
        <v>37</v>
      </c>
      <c r="C439" s="19" t="s">
        <v>180</v>
      </c>
      <c r="D439" s="45" t="s">
        <v>669</v>
      </c>
      <c r="E439" s="50" t="s">
        <v>180</v>
      </c>
      <c r="F439" s="58" t="s">
        <v>180</v>
      </c>
      <c r="G439" s="51"/>
      <c r="H439" s="51"/>
      <c r="I439" s="50" t="s">
        <v>664</v>
      </c>
      <c r="J439" s="58" t="s">
        <v>665</v>
      </c>
      <c r="K439" s="52">
        <v>42370</v>
      </c>
      <c r="L439" s="59">
        <v>42494</v>
      </c>
      <c r="M439" s="60">
        <f>L439+90</f>
        <v>42584</v>
      </c>
      <c r="N439" s="51">
        <v>14993.02</v>
      </c>
      <c r="O439" s="59" t="s">
        <v>180</v>
      </c>
      <c r="P439" s="59">
        <v>0</v>
      </c>
      <c r="Q439" s="51"/>
      <c r="R439" s="51">
        <f t="shared" si="20"/>
        <v>14993.02</v>
      </c>
      <c r="S439" s="51"/>
      <c r="T439" s="52" t="s">
        <v>45</v>
      </c>
      <c r="U439" s="51" t="s">
        <v>180</v>
      </c>
      <c r="V439" s="51" t="s">
        <v>180</v>
      </c>
      <c r="W439" s="51"/>
      <c r="X439" s="51"/>
      <c r="Y439" s="19" t="s">
        <v>646</v>
      </c>
      <c r="Z439" s="19"/>
      <c r="AA439" s="28" t="s">
        <v>8470</v>
      </c>
      <c r="AB439" s="56">
        <v>43410</v>
      </c>
      <c r="AC439" s="28" t="s">
        <v>7421</v>
      </c>
      <c r="AD439" s="28" t="s">
        <v>7422</v>
      </c>
      <c r="AE439" s="54" t="s">
        <v>7423</v>
      </c>
      <c r="AF439" s="54"/>
      <c r="AG439" s="54" t="s">
        <v>7431</v>
      </c>
      <c r="AH439" s="53" t="s">
        <v>1591</v>
      </c>
      <c r="AI439" s="53" t="s">
        <v>2686</v>
      </c>
      <c r="AJ439" s="53" t="s">
        <v>1591</v>
      </c>
    </row>
    <row r="440" spans="1:36" s="3" customFormat="1" ht="72" x14ac:dyDescent="0.25">
      <c r="A440" s="17" t="s">
        <v>675</v>
      </c>
      <c r="B440" s="18" t="s">
        <v>37</v>
      </c>
      <c r="C440" s="76" t="s">
        <v>679</v>
      </c>
      <c r="D440" s="45" t="s">
        <v>4371</v>
      </c>
      <c r="E440" s="78" t="s">
        <v>4372</v>
      </c>
      <c r="F440" s="79" t="s">
        <v>43</v>
      </c>
      <c r="G440" s="80">
        <v>2839349.09</v>
      </c>
      <c r="H440" s="80">
        <v>231746.11</v>
      </c>
      <c r="I440" s="78" t="s">
        <v>519</v>
      </c>
      <c r="J440" s="79" t="s">
        <v>678</v>
      </c>
      <c r="K440" s="81" t="s">
        <v>2434</v>
      </c>
      <c r="L440" s="82">
        <v>41961</v>
      </c>
      <c r="M440" s="83">
        <v>42231</v>
      </c>
      <c r="N440" s="80">
        <v>3071095.2</v>
      </c>
      <c r="O440" s="82" t="s">
        <v>46</v>
      </c>
      <c r="P440" s="84" t="s">
        <v>46</v>
      </c>
      <c r="Q440" s="80">
        <v>0</v>
      </c>
      <c r="R440" s="80">
        <v>3071095.2</v>
      </c>
      <c r="S440" s="80"/>
      <c r="T440" s="81" t="s">
        <v>45</v>
      </c>
      <c r="U440" s="80"/>
      <c r="V440" s="80"/>
      <c r="W440" s="80"/>
      <c r="X440" s="80"/>
      <c r="Y440" s="76" t="s">
        <v>175</v>
      </c>
      <c r="Z440" s="19" t="s">
        <v>7038</v>
      </c>
      <c r="AA440" s="28" t="s">
        <v>7432</v>
      </c>
      <c r="AB440" s="56">
        <v>43404</v>
      </c>
      <c r="AC440" s="28" t="s">
        <v>7433</v>
      </c>
      <c r="AD440" s="28" t="s">
        <v>7434</v>
      </c>
      <c r="AE440" s="54" t="s">
        <v>7435</v>
      </c>
      <c r="AF440" s="54"/>
      <c r="AG440" s="54" t="s">
        <v>7436</v>
      </c>
      <c r="AH440" s="53" t="s">
        <v>1591</v>
      </c>
      <c r="AI440" s="53" t="s">
        <v>2686</v>
      </c>
      <c r="AJ440" s="53" t="s">
        <v>1591</v>
      </c>
    </row>
    <row r="441" spans="1:36" s="3" customFormat="1" ht="36" x14ac:dyDescent="0.25">
      <c r="A441" s="17" t="s">
        <v>675</v>
      </c>
      <c r="B441" s="18" t="s">
        <v>37</v>
      </c>
      <c r="C441" s="76" t="s">
        <v>4373</v>
      </c>
      <c r="D441" s="45" t="s">
        <v>4374</v>
      </c>
      <c r="E441" s="78" t="s">
        <v>4375</v>
      </c>
      <c r="F441" s="79" t="s">
        <v>685</v>
      </c>
      <c r="G441" s="80">
        <v>2464474.15</v>
      </c>
      <c r="H441" s="80">
        <v>123223.71</v>
      </c>
      <c r="I441" s="78" t="s">
        <v>4376</v>
      </c>
      <c r="J441" s="79" t="s">
        <v>4377</v>
      </c>
      <c r="K441" s="81" t="s">
        <v>4378</v>
      </c>
      <c r="L441" s="82">
        <v>39127</v>
      </c>
      <c r="M441" s="83">
        <v>39307</v>
      </c>
      <c r="N441" s="80">
        <v>1866984.57</v>
      </c>
      <c r="O441" s="82">
        <v>40585</v>
      </c>
      <c r="P441" s="84">
        <v>180</v>
      </c>
      <c r="Q441" s="80">
        <v>0</v>
      </c>
      <c r="R441" s="80">
        <v>1866984.57</v>
      </c>
      <c r="S441" s="80"/>
      <c r="T441" s="81" t="s">
        <v>45</v>
      </c>
      <c r="U441" s="80"/>
      <c r="V441" s="80"/>
      <c r="W441" s="80"/>
      <c r="X441" s="80"/>
      <c r="Y441" s="76" t="s">
        <v>157</v>
      </c>
      <c r="Z441" s="19" t="s">
        <v>7038</v>
      </c>
      <c r="AA441" s="28"/>
      <c r="AB441" s="56"/>
      <c r="AC441" s="28"/>
      <c r="AD441" s="28"/>
      <c r="AE441" s="54"/>
      <c r="AF441" s="54"/>
      <c r="AG441" s="54"/>
      <c r="AH441" s="53"/>
      <c r="AI441" s="53" t="s">
        <v>1591</v>
      </c>
      <c r="AJ441" s="53" t="s">
        <v>1591</v>
      </c>
    </row>
    <row r="442" spans="1:36" s="3" customFormat="1" ht="36" x14ac:dyDescent="0.25">
      <c r="A442" s="17" t="s">
        <v>675</v>
      </c>
      <c r="B442" s="18" t="s">
        <v>37</v>
      </c>
      <c r="C442" s="76" t="s">
        <v>4418</v>
      </c>
      <c r="D442" s="45" t="s">
        <v>4419</v>
      </c>
      <c r="E442" s="78"/>
      <c r="F442" s="79"/>
      <c r="G442" s="80"/>
      <c r="H442" s="80"/>
      <c r="I442" s="78" t="s">
        <v>4415</v>
      </c>
      <c r="J442" s="79" t="s">
        <v>4416</v>
      </c>
      <c r="K442" s="81"/>
      <c r="L442" s="82"/>
      <c r="M442" s="83"/>
      <c r="N442" s="80">
        <v>1235091.8600000001</v>
      </c>
      <c r="O442" s="82"/>
      <c r="P442" s="84"/>
      <c r="Q442" s="80"/>
      <c r="R442" s="80">
        <v>1235091.8600000001</v>
      </c>
      <c r="S442" s="80"/>
      <c r="T442" s="81" t="s">
        <v>45</v>
      </c>
      <c r="U442" s="80"/>
      <c r="V442" s="80"/>
      <c r="W442" s="80"/>
      <c r="X442" s="80"/>
      <c r="Y442" s="76" t="s">
        <v>576</v>
      </c>
      <c r="Z442" s="19" t="s">
        <v>7038</v>
      </c>
      <c r="AA442" s="28"/>
      <c r="AB442" s="56"/>
      <c r="AC442" s="28"/>
      <c r="AD442" s="28"/>
      <c r="AE442" s="54"/>
      <c r="AF442" s="54"/>
      <c r="AG442" s="54"/>
      <c r="AH442" s="53"/>
      <c r="AI442" s="53" t="s">
        <v>1591</v>
      </c>
      <c r="AJ442" s="53" t="s">
        <v>1591</v>
      </c>
    </row>
    <row r="443" spans="1:36" s="3" customFormat="1" ht="84" x14ac:dyDescent="0.25">
      <c r="A443" s="17" t="s">
        <v>675</v>
      </c>
      <c r="B443" s="18" t="s">
        <v>37</v>
      </c>
      <c r="C443" s="76" t="s">
        <v>4383</v>
      </c>
      <c r="D443" s="45" t="s">
        <v>4384</v>
      </c>
      <c r="E443" s="78" t="s">
        <v>66</v>
      </c>
      <c r="F443" s="79" t="s">
        <v>4385</v>
      </c>
      <c r="G443" s="80">
        <v>905659.86</v>
      </c>
      <c r="H443" s="80">
        <v>0</v>
      </c>
      <c r="I443" s="78" t="s">
        <v>4386</v>
      </c>
      <c r="J443" s="79" t="s">
        <v>4387</v>
      </c>
      <c r="K443" s="81" t="s">
        <v>4388</v>
      </c>
      <c r="L443" s="82">
        <v>41984</v>
      </c>
      <c r="M443" s="83">
        <v>42164</v>
      </c>
      <c r="N443" s="80">
        <v>810409.49</v>
      </c>
      <c r="O443" s="82"/>
      <c r="P443" s="84">
        <v>180</v>
      </c>
      <c r="Q443" s="80">
        <v>0</v>
      </c>
      <c r="R443" s="80">
        <v>810409.49</v>
      </c>
      <c r="S443" s="80"/>
      <c r="T443" s="81" t="s">
        <v>45</v>
      </c>
      <c r="U443" s="80">
        <v>543319.89</v>
      </c>
      <c r="V443" s="80"/>
      <c r="W443" s="80"/>
      <c r="X443" s="80">
        <v>543319.89</v>
      </c>
      <c r="Y443" s="76" t="s">
        <v>175</v>
      </c>
      <c r="Z443" s="19" t="s">
        <v>7038</v>
      </c>
      <c r="AA443" s="28" t="s">
        <v>7432</v>
      </c>
      <c r="AB443" s="56">
        <v>43404</v>
      </c>
      <c r="AC443" s="28" t="s">
        <v>7433</v>
      </c>
      <c r="AD443" s="28" t="s">
        <v>7434</v>
      </c>
      <c r="AE443" s="54" t="s">
        <v>7437</v>
      </c>
      <c r="AF443" s="54"/>
      <c r="AG443" s="54" t="s">
        <v>7438</v>
      </c>
      <c r="AH443" s="53" t="s">
        <v>1591</v>
      </c>
      <c r="AI443" s="53" t="s">
        <v>2686</v>
      </c>
      <c r="AJ443" s="53" t="s">
        <v>1591</v>
      </c>
    </row>
    <row r="444" spans="1:36" s="3" customFormat="1" ht="36" x14ac:dyDescent="0.25">
      <c r="A444" s="17" t="s">
        <v>675</v>
      </c>
      <c r="B444" s="18" t="s">
        <v>37</v>
      </c>
      <c r="C444" s="76" t="s">
        <v>4390</v>
      </c>
      <c r="D444" s="45" t="s">
        <v>4391</v>
      </c>
      <c r="E444" s="78" t="s">
        <v>4392</v>
      </c>
      <c r="F444" s="79" t="s">
        <v>562</v>
      </c>
      <c r="G444" s="80">
        <v>750000</v>
      </c>
      <c r="H444" s="80">
        <v>25000</v>
      </c>
      <c r="I444" s="78" t="s">
        <v>4393</v>
      </c>
      <c r="J444" s="79" t="s">
        <v>4394</v>
      </c>
      <c r="K444" s="81" t="s">
        <v>4395</v>
      </c>
      <c r="L444" s="82">
        <v>39630</v>
      </c>
      <c r="M444" s="83">
        <v>39720</v>
      </c>
      <c r="N444" s="80">
        <v>749000.25</v>
      </c>
      <c r="O444" s="82" t="s">
        <v>46</v>
      </c>
      <c r="P444" s="84" t="s">
        <v>46</v>
      </c>
      <c r="Q444" s="80">
        <v>0</v>
      </c>
      <c r="R444" s="80">
        <v>749000.25</v>
      </c>
      <c r="S444" s="80"/>
      <c r="T444" s="81" t="s">
        <v>45</v>
      </c>
      <c r="U444" s="80"/>
      <c r="V444" s="80"/>
      <c r="W444" s="80"/>
      <c r="X444" s="80"/>
      <c r="Y444" s="76" t="s">
        <v>157</v>
      </c>
      <c r="Z444" s="19" t="s">
        <v>7038</v>
      </c>
      <c r="AA444" s="28"/>
      <c r="AB444" s="56"/>
      <c r="AC444" s="28"/>
      <c r="AD444" s="28"/>
      <c r="AE444" s="54"/>
      <c r="AF444" s="54"/>
      <c r="AG444" s="54"/>
      <c r="AH444" s="53"/>
      <c r="AI444" s="53" t="s">
        <v>1591</v>
      </c>
      <c r="AJ444" s="53" t="s">
        <v>1591</v>
      </c>
    </row>
    <row r="445" spans="1:36" s="3" customFormat="1" ht="84" x14ac:dyDescent="0.25">
      <c r="A445" s="17" t="s">
        <v>675</v>
      </c>
      <c r="B445" s="18" t="s">
        <v>37</v>
      </c>
      <c r="C445" s="76" t="s">
        <v>4396</v>
      </c>
      <c r="D445" s="45" t="s">
        <v>4397</v>
      </c>
      <c r="E445" s="78" t="s">
        <v>4398</v>
      </c>
      <c r="F445" s="79" t="s">
        <v>677</v>
      </c>
      <c r="G445" s="80">
        <v>440970</v>
      </c>
      <c r="H445" s="80">
        <v>56972.160000000003</v>
      </c>
      <c r="I445" s="78" t="s">
        <v>4379</v>
      </c>
      <c r="J445" s="79" t="s">
        <v>4380</v>
      </c>
      <c r="K445" s="81" t="s">
        <v>1983</v>
      </c>
      <c r="L445" s="82">
        <v>42219</v>
      </c>
      <c r="M445" s="83">
        <v>42429</v>
      </c>
      <c r="N445" s="80">
        <v>497942.16</v>
      </c>
      <c r="O445" s="82"/>
      <c r="P445" s="84"/>
      <c r="Q445" s="80">
        <v>0</v>
      </c>
      <c r="R445" s="80">
        <v>497942.16</v>
      </c>
      <c r="S445" s="80"/>
      <c r="T445" s="81" t="s">
        <v>45</v>
      </c>
      <c r="U445" s="80">
        <v>323454.81</v>
      </c>
      <c r="V445" s="80"/>
      <c r="W445" s="80"/>
      <c r="X445" s="80">
        <v>323454.81</v>
      </c>
      <c r="Y445" s="76" t="s">
        <v>175</v>
      </c>
      <c r="Z445" s="19" t="s">
        <v>7038</v>
      </c>
      <c r="AA445" s="28" t="s">
        <v>7432</v>
      </c>
      <c r="AB445" s="56">
        <v>43404</v>
      </c>
      <c r="AC445" s="28" t="s">
        <v>7433</v>
      </c>
      <c r="AD445" s="28" t="s">
        <v>7434</v>
      </c>
      <c r="AE445" s="54" t="s">
        <v>7437</v>
      </c>
      <c r="AF445" s="54"/>
      <c r="AG445" s="54" t="s">
        <v>7439</v>
      </c>
      <c r="AH445" s="53" t="s">
        <v>1591</v>
      </c>
      <c r="AI445" s="53" t="s">
        <v>2686</v>
      </c>
      <c r="AJ445" s="53" t="s">
        <v>1591</v>
      </c>
    </row>
    <row r="446" spans="1:36" s="3" customFormat="1" ht="72" x14ac:dyDescent="0.25">
      <c r="A446" s="17" t="s">
        <v>675</v>
      </c>
      <c r="B446" s="18" t="s">
        <v>37</v>
      </c>
      <c r="C446" s="76" t="s">
        <v>682</v>
      </c>
      <c r="D446" s="45" t="s">
        <v>4400</v>
      </c>
      <c r="E446" s="78" t="s">
        <v>4401</v>
      </c>
      <c r="F446" s="79" t="s">
        <v>70</v>
      </c>
      <c r="G446" s="80">
        <v>245850</v>
      </c>
      <c r="H446" s="80">
        <v>14146.08</v>
      </c>
      <c r="I446" s="78" t="s">
        <v>343</v>
      </c>
      <c r="J446" s="79" t="s">
        <v>4389</v>
      </c>
      <c r="K446" s="81" t="s">
        <v>4402</v>
      </c>
      <c r="L446" s="82">
        <v>42670</v>
      </c>
      <c r="M446" s="83">
        <v>42910</v>
      </c>
      <c r="N446" s="80">
        <v>244158.8</v>
      </c>
      <c r="O446" s="82"/>
      <c r="P446" s="84"/>
      <c r="Q446" s="80">
        <v>0</v>
      </c>
      <c r="R446" s="80">
        <v>244158.8</v>
      </c>
      <c r="S446" s="80"/>
      <c r="T446" s="81" t="s">
        <v>45</v>
      </c>
      <c r="U446" s="80">
        <v>63443.519999999997</v>
      </c>
      <c r="V446" s="80"/>
      <c r="W446" s="80"/>
      <c r="X446" s="80">
        <v>63443.519999999997</v>
      </c>
      <c r="Y446" s="76" t="s">
        <v>175</v>
      </c>
      <c r="Z446" s="19" t="s">
        <v>7038</v>
      </c>
      <c r="AA446" s="28" t="s">
        <v>7432</v>
      </c>
      <c r="AB446" s="56">
        <v>43404</v>
      </c>
      <c r="AC446" s="28" t="s">
        <v>7433</v>
      </c>
      <c r="AD446" s="28" t="s">
        <v>7434</v>
      </c>
      <c r="AE446" s="54" t="s">
        <v>7440</v>
      </c>
      <c r="AF446" s="54"/>
      <c r="AG446" s="54" t="s">
        <v>7441</v>
      </c>
      <c r="AH446" s="53" t="s">
        <v>1591</v>
      </c>
      <c r="AI446" s="53" t="s">
        <v>2686</v>
      </c>
      <c r="AJ446" s="53" t="s">
        <v>1591</v>
      </c>
    </row>
    <row r="447" spans="1:36" s="3" customFormat="1" ht="48" x14ac:dyDescent="0.25">
      <c r="A447" s="17" t="s">
        <v>675</v>
      </c>
      <c r="B447" s="18" t="s">
        <v>37</v>
      </c>
      <c r="C447" s="76" t="s">
        <v>683</v>
      </c>
      <c r="D447" s="45" t="s">
        <v>4403</v>
      </c>
      <c r="E447" s="78" t="s">
        <v>4404</v>
      </c>
      <c r="F447" s="79" t="s">
        <v>4405</v>
      </c>
      <c r="G447" s="80">
        <v>243146.03</v>
      </c>
      <c r="H447" s="80">
        <v>0</v>
      </c>
      <c r="I447" s="78" t="s">
        <v>684</v>
      </c>
      <c r="J447" s="79" t="s">
        <v>4406</v>
      </c>
      <c r="K447" s="81" t="s">
        <v>4407</v>
      </c>
      <c r="L447" s="82">
        <v>42549</v>
      </c>
      <c r="M447" s="83"/>
      <c r="N447" s="80">
        <v>242837.69</v>
      </c>
      <c r="O447" s="82"/>
      <c r="P447" s="84"/>
      <c r="Q447" s="80">
        <v>0</v>
      </c>
      <c r="R447" s="80">
        <v>242837.69</v>
      </c>
      <c r="S447" s="80"/>
      <c r="T447" s="81" t="s">
        <v>45</v>
      </c>
      <c r="U447" s="80"/>
      <c r="V447" s="80"/>
      <c r="W447" s="80"/>
      <c r="X447" s="80"/>
      <c r="Y447" s="76" t="s">
        <v>175</v>
      </c>
      <c r="Z447" s="19" t="s">
        <v>7038</v>
      </c>
      <c r="AA447" s="28"/>
      <c r="AB447" s="56"/>
      <c r="AC447" s="28"/>
      <c r="AD447" s="28"/>
      <c r="AE447" s="54"/>
      <c r="AF447" s="54"/>
      <c r="AG447" s="54"/>
      <c r="AH447" s="53"/>
      <c r="AI447" s="53" t="s">
        <v>1591</v>
      </c>
      <c r="AJ447" s="53" t="s">
        <v>1591</v>
      </c>
    </row>
    <row r="448" spans="1:36" s="3" customFormat="1" ht="36" x14ac:dyDescent="0.25">
      <c r="A448" s="17" t="s">
        <v>675</v>
      </c>
      <c r="B448" s="18" t="s">
        <v>37</v>
      </c>
      <c r="C448" s="76" t="s">
        <v>4408</v>
      </c>
      <c r="D448" s="45" t="s">
        <v>4409</v>
      </c>
      <c r="E448" s="78" t="s">
        <v>4410</v>
      </c>
      <c r="F448" s="79" t="s">
        <v>677</v>
      </c>
      <c r="G448" s="80">
        <v>200000</v>
      </c>
      <c r="H448" s="80">
        <v>33426.69</v>
      </c>
      <c r="I448" s="78" t="s">
        <v>519</v>
      </c>
      <c r="J448" s="79" t="s">
        <v>678</v>
      </c>
      <c r="K448" s="81" t="s">
        <v>4411</v>
      </c>
      <c r="L448" s="82">
        <v>41516</v>
      </c>
      <c r="M448" s="83">
        <v>41816</v>
      </c>
      <c r="N448" s="80">
        <v>233426.69</v>
      </c>
      <c r="O448" s="82" t="s">
        <v>46</v>
      </c>
      <c r="P448" s="84" t="s">
        <v>46</v>
      </c>
      <c r="Q448" s="80">
        <v>0</v>
      </c>
      <c r="R448" s="80">
        <v>233426.69</v>
      </c>
      <c r="S448" s="80"/>
      <c r="T448" s="81" t="s">
        <v>45</v>
      </c>
      <c r="U448" s="80">
        <v>153220.81</v>
      </c>
      <c r="V448" s="80"/>
      <c r="W448" s="80"/>
      <c r="X448" s="80">
        <v>153220.81</v>
      </c>
      <c r="Y448" s="76" t="s">
        <v>157</v>
      </c>
      <c r="Z448" s="19" t="s">
        <v>7038</v>
      </c>
      <c r="AA448" s="28"/>
      <c r="AB448" s="56"/>
      <c r="AC448" s="28"/>
      <c r="AD448" s="28"/>
      <c r="AE448" s="54"/>
      <c r="AF448" s="54"/>
      <c r="AG448" s="54"/>
      <c r="AH448" s="53"/>
      <c r="AI448" s="53" t="s">
        <v>1591</v>
      </c>
      <c r="AJ448" s="53" t="s">
        <v>1591</v>
      </c>
    </row>
    <row r="449" spans="1:36" s="3" customFormat="1" ht="36" x14ac:dyDescent="0.25">
      <c r="A449" s="17" t="s">
        <v>675</v>
      </c>
      <c r="B449" s="18" t="s">
        <v>37</v>
      </c>
      <c r="C449" s="76" t="s">
        <v>687</v>
      </c>
      <c r="D449" s="45" t="s">
        <v>4412</v>
      </c>
      <c r="E449" s="78" t="s">
        <v>4413</v>
      </c>
      <c r="F449" s="79" t="s">
        <v>677</v>
      </c>
      <c r="G449" s="80">
        <v>180000</v>
      </c>
      <c r="H449" s="80">
        <v>18455.64</v>
      </c>
      <c r="I449" s="78" t="s">
        <v>4381</v>
      </c>
      <c r="J449" s="79" t="s">
        <v>4382</v>
      </c>
      <c r="K449" s="81" t="s">
        <v>4414</v>
      </c>
      <c r="L449" s="82">
        <v>41516</v>
      </c>
      <c r="M449" s="83">
        <v>41816</v>
      </c>
      <c r="N449" s="80">
        <v>198455.64</v>
      </c>
      <c r="O449" s="82" t="s">
        <v>46</v>
      </c>
      <c r="P449" s="84" t="s">
        <v>46</v>
      </c>
      <c r="Q449" s="80">
        <v>0</v>
      </c>
      <c r="R449" s="80">
        <v>198455.64</v>
      </c>
      <c r="S449" s="80"/>
      <c r="T449" s="81" t="s">
        <v>45</v>
      </c>
      <c r="U449" s="80">
        <v>108351.3</v>
      </c>
      <c r="V449" s="80"/>
      <c r="W449" s="80"/>
      <c r="X449" s="80">
        <v>108351.3</v>
      </c>
      <c r="Y449" s="76" t="s">
        <v>157</v>
      </c>
      <c r="Z449" s="19" t="s">
        <v>7038</v>
      </c>
      <c r="AA449" s="28"/>
      <c r="AB449" s="56"/>
      <c r="AC449" s="28"/>
      <c r="AD449" s="28"/>
      <c r="AE449" s="54"/>
      <c r="AF449" s="54"/>
      <c r="AG449" s="54"/>
      <c r="AH449" s="53"/>
      <c r="AI449" s="53" t="s">
        <v>1591</v>
      </c>
      <c r="AJ449" s="53" t="s">
        <v>1591</v>
      </c>
    </row>
    <row r="450" spans="1:36" s="3" customFormat="1" ht="24" x14ac:dyDescent="0.25">
      <c r="A450" s="17" t="s">
        <v>692</v>
      </c>
      <c r="B450" s="18" t="s">
        <v>37</v>
      </c>
      <c r="C450" s="19" t="s">
        <v>287</v>
      </c>
      <c r="D450" s="45" t="s">
        <v>710</v>
      </c>
      <c r="E450" s="50" t="s">
        <v>711</v>
      </c>
      <c r="F450" s="58" t="s">
        <v>562</v>
      </c>
      <c r="G450" s="51">
        <v>9000374.0999999996</v>
      </c>
      <c r="H450" s="51"/>
      <c r="I450" s="50" t="s">
        <v>712</v>
      </c>
      <c r="J450" s="58" t="s">
        <v>713</v>
      </c>
      <c r="K450" s="52" t="s">
        <v>699</v>
      </c>
      <c r="L450" s="59">
        <v>41733</v>
      </c>
      <c r="M450" s="60">
        <v>42786</v>
      </c>
      <c r="N450" s="51">
        <v>9304293.8399999999</v>
      </c>
      <c r="O450" s="59"/>
      <c r="P450" s="59">
        <v>0</v>
      </c>
      <c r="Q450" s="51"/>
      <c r="R450" s="51">
        <f>N450+Q450</f>
        <v>9304293.8399999999</v>
      </c>
      <c r="S450" s="51"/>
      <c r="T450" s="52" t="s">
        <v>52</v>
      </c>
      <c r="U450" s="51">
        <v>140939.4</v>
      </c>
      <c r="V450" s="51"/>
      <c r="W450" s="51">
        <v>1139041.21</v>
      </c>
      <c r="X450" s="51">
        <v>6269906.5999999996</v>
      </c>
      <c r="Y450" s="19" t="s">
        <v>714</v>
      </c>
      <c r="Z450" s="19"/>
      <c r="AA450" s="28"/>
      <c r="AB450" s="56"/>
      <c r="AC450" s="28"/>
      <c r="AD450" s="28"/>
      <c r="AE450" s="54"/>
      <c r="AF450" s="54"/>
      <c r="AG450" s="54"/>
      <c r="AH450" s="53"/>
      <c r="AI450" s="53" t="s">
        <v>1591</v>
      </c>
      <c r="AJ450" s="53" t="s">
        <v>1591</v>
      </c>
    </row>
    <row r="451" spans="1:36" s="3" customFormat="1" ht="36" x14ac:dyDescent="0.25">
      <c r="A451" s="17" t="s">
        <v>692</v>
      </c>
      <c r="B451" s="18" t="s">
        <v>37</v>
      </c>
      <c r="C451" s="76" t="s">
        <v>706</v>
      </c>
      <c r="D451" s="45" t="s">
        <v>4420</v>
      </c>
      <c r="E451" s="78" t="s">
        <v>46</v>
      </c>
      <c r="F451" s="79" t="s">
        <v>46</v>
      </c>
      <c r="G451" s="80" t="s">
        <v>46</v>
      </c>
      <c r="H451" s="80"/>
      <c r="I451" s="78" t="s">
        <v>4421</v>
      </c>
      <c r="J451" s="79" t="s">
        <v>698</v>
      </c>
      <c r="K451" s="81" t="s">
        <v>707</v>
      </c>
      <c r="L451" s="82">
        <v>41459</v>
      </c>
      <c r="M451" s="83">
        <v>41998</v>
      </c>
      <c r="N451" s="80">
        <v>1422310.15</v>
      </c>
      <c r="O451" s="82"/>
      <c r="P451" s="84"/>
      <c r="Q451" s="80">
        <v>0</v>
      </c>
      <c r="R451" s="80">
        <v>1422310.15</v>
      </c>
      <c r="S451" s="80"/>
      <c r="T451" s="81" t="s">
        <v>52</v>
      </c>
      <c r="U451" s="80"/>
      <c r="V451" s="80"/>
      <c r="W451" s="80"/>
      <c r="X451" s="80">
        <v>752358.71</v>
      </c>
      <c r="Y451" s="76" t="s">
        <v>542</v>
      </c>
      <c r="Z451" s="19" t="s">
        <v>7038</v>
      </c>
      <c r="AA451" s="28"/>
      <c r="AB451" s="56"/>
      <c r="AC451" s="28"/>
      <c r="AD451" s="28"/>
      <c r="AE451" s="54"/>
      <c r="AF451" s="54"/>
      <c r="AG451" s="54"/>
      <c r="AH451" s="53"/>
      <c r="AI451" s="53" t="s">
        <v>1591</v>
      </c>
      <c r="AJ451" s="53" t="s">
        <v>1591</v>
      </c>
    </row>
    <row r="452" spans="1:36" s="3" customFormat="1" ht="36" x14ac:dyDescent="0.25">
      <c r="A452" s="17" t="s">
        <v>692</v>
      </c>
      <c r="B452" s="18" t="s">
        <v>37</v>
      </c>
      <c r="C452" s="19" t="s">
        <v>744</v>
      </c>
      <c r="D452" s="45" t="s">
        <v>745</v>
      </c>
      <c r="E452" s="50" t="s">
        <v>46</v>
      </c>
      <c r="F452" s="58" t="s">
        <v>46</v>
      </c>
      <c r="G452" s="51" t="s">
        <v>46</v>
      </c>
      <c r="H452" s="51"/>
      <c r="I452" s="50" t="s">
        <v>1547</v>
      </c>
      <c r="J452" s="58" t="s">
        <v>698</v>
      </c>
      <c r="K452" s="52" t="s">
        <v>46</v>
      </c>
      <c r="L452" s="59">
        <v>42494</v>
      </c>
      <c r="M452" s="60">
        <v>42853</v>
      </c>
      <c r="N452" s="51">
        <v>1385208.77</v>
      </c>
      <c r="O452" s="59"/>
      <c r="P452" s="59">
        <v>0</v>
      </c>
      <c r="Q452" s="51"/>
      <c r="R452" s="51">
        <f>N452+Q452</f>
        <v>1385208.77</v>
      </c>
      <c r="S452" s="51"/>
      <c r="T452" s="52" t="s">
        <v>52</v>
      </c>
      <c r="U452" s="51"/>
      <c r="V452" s="51"/>
      <c r="W452" s="51">
        <v>40304.81</v>
      </c>
      <c r="X452" s="51">
        <v>250197.91</v>
      </c>
      <c r="Y452" s="19" t="s">
        <v>714</v>
      </c>
      <c r="Z452" s="19"/>
      <c r="AA452" s="28"/>
      <c r="AB452" s="56"/>
      <c r="AC452" s="28"/>
      <c r="AD452" s="28"/>
      <c r="AE452" s="54"/>
      <c r="AF452" s="54"/>
      <c r="AG452" s="54"/>
      <c r="AH452" s="53"/>
      <c r="AI452" s="53" t="s">
        <v>1591</v>
      </c>
      <c r="AJ452" s="53" t="s">
        <v>1591</v>
      </c>
    </row>
    <row r="453" spans="1:36" s="3" customFormat="1" ht="36" x14ac:dyDescent="0.25">
      <c r="A453" s="17" t="s">
        <v>692</v>
      </c>
      <c r="B453" s="18" t="s">
        <v>37</v>
      </c>
      <c r="C453" s="76" t="s">
        <v>693</v>
      </c>
      <c r="D453" s="45" t="s">
        <v>4422</v>
      </c>
      <c r="E453" s="78" t="s">
        <v>4423</v>
      </c>
      <c r="F453" s="79" t="s">
        <v>694</v>
      </c>
      <c r="G453" s="80"/>
      <c r="H453" s="80"/>
      <c r="I453" s="78" t="s">
        <v>4424</v>
      </c>
      <c r="J453" s="79" t="s">
        <v>4425</v>
      </c>
      <c r="K453" s="81" t="s">
        <v>46</v>
      </c>
      <c r="L453" s="82">
        <v>40939</v>
      </c>
      <c r="M453" s="83">
        <v>42308</v>
      </c>
      <c r="N453" s="80">
        <v>1000977.84</v>
      </c>
      <c r="O453" s="82"/>
      <c r="P453" s="84"/>
      <c r="Q453" s="80">
        <v>0</v>
      </c>
      <c r="R453" s="80">
        <v>1000977.84</v>
      </c>
      <c r="S453" s="80"/>
      <c r="T453" s="81" t="s">
        <v>52</v>
      </c>
      <c r="U453" s="80"/>
      <c r="V453" s="80"/>
      <c r="W453" s="80"/>
      <c r="X453" s="80">
        <v>314418.96999999997</v>
      </c>
      <c r="Y453" s="76" t="s">
        <v>695</v>
      </c>
      <c r="Z453" s="19" t="s">
        <v>7038</v>
      </c>
      <c r="AA453" s="28"/>
      <c r="AB453" s="56"/>
      <c r="AC453" s="28"/>
      <c r="AD453" s="28"/>
      <c r="AE453" s="54"/>
      <c r="AF453" s="54"/>
      <c r="AG453" s="54"/>
      <c r="AH453" s="53"/>
      <c r="AI453" s="53" t="s">
        <v>1591</v>
      </c>
      <c r="AJ453" s="53" t="s">
        <v>1591</v>
      </c>
    </row>
    <row r="454" spans="1:36" s="3" customFormat="1" ht="24" x14ac:dyDescent="0.25">
      <c r="A454" s="17" t="s">
        <v>692</v>
      </c>
      <c r="B454" s="18" t="s">
        <v>37</v>
      </c>
      <c r="C454" s="19" t="s">
        <v>88</v>
      </c>
      <c r="D454" s="45" t="s">
        <v>726</v>
      </c>
      <c r="E454" s="50" t="s">
        <v>727</v>
      </c>
      <c r="F454" s="58" t="s">
        <v>703</v>
      </c>
      <c r="G454" s="51">
        <v>641450</v>
      </c>
      <c r="H454" s="51"/>
      <c r="I454" s="50" t="s">
        <v>67</v>
      </c>
      <c r="J454" s="58" t="s">
        <v>68</v>
      </c>
      <c r="K454" s="52" t="s">
        <v>46</v>
      </c>
      <c r="L454" s="59">
        <v>42468</v>
      </c>
      <c r="M454" s="60">
        <v>42827</v>
      </c>
      <c r="N454" s="51">
        <v>721681.49</v>
      </c>
      <c r="O454" s="59"/>
      <c r="P454" s="59">
        <v>0</v>
      </c>
      <c r="Q454" s="51"/>
      <c r="R454" s="51">
        <f t="shared" ref="R454:R463" si="21">N454+Q454</f>
        <v>721681.49</v>
      </c>
      <c r="S454" s="51"/>
      <c r="T454" s="52" t="s">
        <v>52</v>
      </c>
      <c r="U454" s="51"/>
      <c r="V454" s="51"/>
      <c r="W454" s="51">
        <v>0</v>
      </c>
      <c r="X454" s="51">
        <v>363343.07</v>
      </c>
      <c r="Y454" s="19" t="s">
        <v>714</v>
      </c>
      <c r="Z454" s="19"/>
      <c r="AA454" s="28"/>
      <c r="AB454" s="56"/>
      <c r="AC454" s="28"/>
      <c r="AD454" s="28"/>
      <c r="AE454" s="54"/>
      <c r="AF454" s="54"/>
      <c r="AG454" s="54"/>
      <c r="AH454" s="53"/>
      <c r="AI454" s="53" t="s">
        <v>1591</v>
      </c>
      <c r="AJ454" s="53" t="s">
        <v>1591</v>
      </c>
    </row>
    <row r="455" spans="1:36" s="3" customFormat="1" ht="24" x14ac:dyDescent="0.25">
      <c r="A455" s="17" t="s">
        <v>692</v>
      </c>
      <c r="B455" s="18" t="s">
        <v>37</v>
      </c>
      <c r="C455" s="19" t="s">
        <v>77</v>
      </c>
      <c r="D455" s="45" t="s">
        <v>719</v>
      </c>
      <c r="E455" s="50" t="s">
        <v>661</v>
      </c>
      <c r="F455" s="58" t="s">
        <v>46</v>
      </c>
      <c r="G455" s="51" t="s">
        <v>46</v>
      </c>
      <c r="H455" s="51"/>
      <c r="I455" s="50" t="s">
        <v>642</v>
      </c>
      <c r="J455" s="58" t="s">
        <v>720</v>
      </c>
      <c r="K455" s="52" t="s">
        <v>705</v>
      </c>
      <c r="L455" s="59">
        <v>41971</v>
      </c>
      <c r="M455" s="60">
        <v>42870</v>
      </c>
      <c r="N455" s="51">
        <v>716439.28</v>
      </c>
      <c r="O455" s="59"/>
      <c r="P455" s="59">
        <v>0</v>
      </c>
      <c r="Q455" s="51"/>
      <c r="R455" s="51">
        <f t="shared" si="21"/>
        <v>716439.28</v>
      </c>
      <c r="S455" s="51"/>
      <c r="T455" s="52" t="s">
        <v>52</v>
      </c>
      <c r="U455" s="51"/>
      <c r="V455" s="51"/>
      <c r="W455" s="51">
        <v>0</v>
      </c>
      <c r="X455" s="51">
        <v>407429.18</v>
      </c>
      <c r="Y455" s="19" t="s">
        <v>714</v>
      </c>
      <c r="Z455" s="19"/>
      <c r="AA455" s="28"/>
      <c r="AB455" s="56"/>
      <c r="AC455" s="28"/>
      <c r="AD455" s="28"/>
      <c r="AE455" s="54"/>
      <c r="AF455" s="54"/>
      <c r="AG455" s="54"/>
      <c r="AH455" s="53"/>
      <c r="AI455" s="53" t="s">
        <v>1591</v>
      </c>
      <c r="AJ455" s="53" t="s">
        <v>1591</v>
      </c>
    </row>
    <row r="456" spans="1:36" s="3" customFormat="1" ht="24" x14ac:dyDescent="0.25">
      <c r="A456" s="17" t="s">
        <v>692</v>
      </c>
      <c r="B456" s="18" t="s">
        <v>37</v>
      </c>
      <c r="C456" s="19" t="s">
        <v>767</v>
      </c>
      <c r="D456" s="45" t="s">
        <v>768</v>
      </c>
      <c r="E456" s="50">
        <v>808501</v>
      </c>
      <c r="F456" s="58" t="s">
        <v>732</v>
      </c>
      <c r="G456" s="51">
        <v>585000</v>
      </c>
      <c r="H456" s="51"/>
      <c r="I456" s="50" t="s">
        <v>769</v>
      </c>
      <c r="J456" s="58" t="s">
        <v>770</v>
      </c>
      <c r="K456" s="52" t="s">
        <v>46</v>
      </c>
      <c r="L456" s="59">
        <v>42677</v>
      </c>
      <c r="M456" s="60">
        <v>42916</v>
      </c>
      <c r="N456" s="51">
        <v>631464.17000000004</v>
      </c>
      <c r="O456" s="59"/>
      <c r="P456" s="59">
        <v>0</v>
      </c>
      <c r="Q456" s="51"/>
      <c r="R456" s="51">
        <f t="shared" si="21"/>
        <v>631464.17000000004</v>
      </c>
      <c r="S456" s="51"/>
      <c r="T456" s="52" t="s">
        <v>52</v>
      </c>
      <c r="U456" s="51"/>
      <c r="V456" s="51"/>
      <c r="W456" s="51">
        <v>0</v>
      </c>
      <c r="X456" s="51"/>
      <c r="Y456" s="19" t="s">
        <v>714</v>
      </c>
      <c r="Z456" s="19"/>
      <c r="AA456" s="28"/>
      <c r="AB456" s="56"/>
      <c r="AC456" s="28"/>
      <c r="AD456" s="28"/>
      <c r="AE456" s="54"/>
      <c r="AF456" s="54"/>
      <c r="AG456" s="54"/>
      <c r="AH456" s="53"/>
      <c r="AI456" s="53" t="s">
        <v>1591</v>
      </c>
      <c r="AJ456" s="53" t="s">
        <v>1591</v>
      </c>
    </row>
    <row r="457" spans="1:36" s="3" customFormat="1" ht="24" x14ac:dyDescent="0.25">
      <c r="A457" s="17" t="s">
        <v>692</v>
      </c>
      <c r="B457" s="18" t="s">
        <v>37</v>
      </c>
      <c r="C457" s="19" t="s">
        <v>115</v>
      </c>
      <c r="D457" s="45" t="s">
        <v>759</v>
      </c>
      <c r="E457" s="50" t="s">
        <v>46</v>
      </c>
      <c r="F457" s="58" t="s">
        <v>661</v>
      </c>
      <c r="G457" s="51" t="s">
        <v>46</v>
      </c>
      <c r="H457" s="51"/>
      <c r="I457" s="50" t="s">
        <v>760</v>
      </c>
      <c r="J457" s="58" t="s">
        <v>761</v>
      </c>
      <c r="K457" s="52" t="s">
        <v>46</v>
      </c>
      <c r="L457" s="59">
        <v>42625</v>
      </c>
      <c r="M457" s="60">
        <v>42804</v>
      </c>
      <c r="N457" s="51">
        <v>433241.7</v>
      </c>
      <c r="O457" s="59"/>
      <c r="P457" s="59">
        <v>0</v>
      </c>
      <c r="Q457" s="51"/>
      <c r="R457" s="51">
        <f t="shared" si="21"/>
        <v>433241.7</v>
      </c>
      <c r="S457" s="51"/>
      <c r="T457" s="52" t="s">
        <v>52</v>
      </c>
      <c r="U457" s="51"/>
      <c r="V457" s="51"/>
      <c r="W457" s="51">
        <v>0</v>
      </c>
      <c r="X457" s="51">
        <v>104166.73</v>
      </c>
      <c r="Y457" s="19" t="s">
        <v>714</v>
      </c>
      <c r="Z457" s="19"/>
      <c r="AA457" s="28"/>
      <c r="AB457" s="56"/>
      <c r="AC457" s="28"/>
      <c r="AD457" s="28"/>
      <c r="AE457" s="54"/>
      <c r="AF457" s="54"/>
      <c r="AG457" s="54"/>
      <c r="AH457" s="53"/>
      <c r="AI457" s="53" t="s">
        <v>1591</v>
      </c>
      <c r="AJ457" s="53" t="s">
        <v>1591</v>
      </c>
    </row>
    <row r="458" spans="1:36" s="3" customFormat="1" ht="24" x14ac:dyDescent="0.25">
      <c r="A458" s="17" t="s">
        <v>692</v>
      </c>
      <c r="B458" s="18" t="s">
        <v>37</v>
      </c>
      <c r="C458" s="19" t="s">
        <v>733</v>
      </c>
      <c r="D458" s="45" t="s">
        <v>734</v>
      </c>
      <c r="E458" s="50">
        <v>802308</v>
      </c>
      <c r="F458" s="58" t="s">
        <v>732</v>
      </c>
      <c r="G458" s="51">
        <v>349000</v>
      </c>
      <c r="H458" s="51"/>
      <c r="I458" s="50" t="s">
        <v>642</v>
      </c>
      <c r="J458" s="58" t="s">
        <v>720</v>
      </c>
      <c r="K458" s="52" t="s">
        <v>46</v>
      </c>
      <c r="L458" s="59">
        <v>42492</v>
      </c>
      <c r="M458" s="60">
        <v>42851</v>
      </c>
      <c r="N458" s="51">
        <v>361969.48</v>
      </c>
      <c r="O458" s="59"/>
      <c r="P458" s="59">
        <v>0</v>
      </c>
      <c r="Q458" s="51"/>
      <c r="R458" s="51">
        <f t="shared" si="21"/>
        <v>361969.48</v>
      </c>
      <c r="S458" s="51"/>
      <c r="T458" s="52" t="s">
        <v>52</v>
      </c>
      <c r="U458" s="51">
        <v>35656.550000000003</v>
      </c>
      <c r="V458" s="51"/>
      <c r="W458" s="51">
        <v>35656.550000000003</v>
      </c>
      <c r="X458" s="51">
        <v>47790.73</v>
      </c>
      <c r="Y458" s="19" t="s">
        <v>714</v>
      </c>
      <c r="Z458" s="19"/>
      <c r="AA458" s="28"/>
      <c r="AB458" s="56"/>
      <c r="AC458" s="28"/>
      <c r="AD458" s="28"/>
      <c r="AE458" s="54"/>
      <c r="AF458" s="54"/>
      <c r="AG458" s="54"/>
      <c r="AH458" s="53"/>
      <c r="AI458" s="53" t="s">
        <v>1591</v>
      </c>
      <c r="AJ458" s="53" t="s">
        <v>1591</v>
      </c>
    </row>
    <row r="459" spans="1:36" s="3" customFormat="1" ht="24" x14ac:dyDescent="0.25">
      <c r="A459" s="35" t="s">
        <v>692</v>
      </c>
      <c r="B459" s="18" t="s">
        <v>37</v>
      </c>
      <c r="C459" s="19" t="s">
        <v>728</v>
      </c>
      <c r="D459" s="43" t="s">
        <v>729</v>
      </c>
      <c r="E459" s="50" t="s">
        <v>730</v>
      </c>
      <c r="F459" s="36" t="s">
        <v>731</v>
      </c>
      <c r="G459" s="51">
        <v>243750</v>
      </c>
      <c r="H459" s="51"/>
      <c r="I459" s="36" t="s">
        <v>642</v>
      </c>
      <c r="J459" s="34" t="s">
        <v>720</v>
      </c>
      <c r="K459" s="37" t="s">
        <v>46</v>
      </c>
      <c r="L459" s="38">
        <v>42468</v>
      </c>
      <c r="M459" s="39">
        <v>42828</v>
      </c>
      <c r="N459" s="42">
        <v>260348.04</v>
      </c>
      <c r="O459" s="74"/>
      <c r="P459" s="39">
        <v>0</v>
      </c>
      <c r="Q459" s="41"/>
      <c r="R459" s="51">
        <f t="shared" si="21"/>
        <v>260348.04</v>
      </c>
      <c r="S459" s="51"/>
      <c r="T459" s="52" t="s">
        <v>52</v>
      </c>
      <c r="U459" s="51"/>
      <c r="V459" s="51"/>
      <c r="W459" s="42">
        <v>0</v>
      </c>
      <c r="X459" s="42"/>
      <c r="Y459" s="34" t="s">
        <v>714</v>
      </c>
      <c r="Z459" s="34"/>
      <c r="AA459" s="28"/>
      <c r="AB459" s="56"/>
      <c r="AC459" s="28"/>
      <c r="AD459" s="28"/>
      <c r="AE459" s="54"/>
      <c r="AF459" s="54"/>
      <c r="AG459" s="54"/>
      <c r="AH459" s="53"/>
      <c r="AI459" s="53" t="s">
        <v>1591</v>
      </c>
      <c r="AJ459" s="53" t="s">
        <v>1591</v>
      </c>
    </row>
    <row r="460" spans="1:36" s="3" customFormat="1" ht="24" x14ac:dyDescent="0.25">
      <c r="A460" s="35" t="s">
        <v>692</v>
      </c>
      <c r="B460" s="18" t="s">
        <v>37</v>
      </c>
      <c r="C460" s="19" t="s">
        <v>721</v>
      </c>
      <c r="D460" s="43" t="s">
        <v>719</v>
      </c>
      <c r="E460" s="50" t="s">
        <v>722</v>
      </c>
      <c r="F460" s="36" t="s">
        <v>46</v>
      </c>
      <c r="G460" s="51" t="s">
        <v>46</v>
      </c>
      <c r="H460" s="51"/>
      <c r="I460" s="36" t="s">
        <v>723</v>
      </c>
      <c r="J460" s="34" t="s">
        <v>724</v>
      </c>
      <c r="K460" s="37" t="s">
        <v>707</v>
      </c>
      <c r="L460" s="38">
        <v>41992</v>
      </c>
      <c r="M460" s="39">
        <v>42801</v>
      </c>
      <c r="N460" s="42">
        <v>256056.65</v>
      </c>
      <c r="O460" s="74"/>
      <c r="P460" s="39">
        <v>0</v>
      </c>
      <c r="Q460" s="41"/>
      <c r="R460" s="51">
        <f t="shared" si="21"/>
        <v>256056.65</v>
      </c>
      <c r="S460" s="51"/>
      <c r="T460" s="52" t="s">
        <v>52</v>
      </c>
      <c r="U460" s="51"/>
      <c r="V460" s="51"/>
      <c r="W460" s="42">
        <v>0</v>
      </c>
      <c r="X460" s="42"/>
      <c r="Y460" s="34" t="s">
        <v>725</v>
      </c>
      <c r="Z460" s="34"/>
      <c r="AA460" s="28"/>
      <c r="AB460" s="56"/>
      <c r="AC460" s="28"/>
      <c r="AD460" s="28"/>
      <c r="AE460" s="54"/>
      <c r="AF460" s="54"/>
      <c r="AG460" s="54"/>
      <c r="AH460" s="53"/>
      <c r="AI460" s="53" t="s">
        <v>1591</v>
      </c>
      <c r="AJ460" s="53" t="s">
        <v>1591</v>
      </c>
    </row>
    <row r="461" spans="1:36" s="3" customFormat="1" ht="24" x14ac:dyDescent="0.25">
      <c r="A461" s="17" t="s">
        <v>692</v>
      </c>
      <c r="B461" s="18" t="s">
        <v>37</v>
      </c>
      <c r="C461" s="19" t="s">
        <v>762</v>
      </c>
      <c r="D461" s="45" t="s">
        <v>763</v>
      </c>
      <c r="E461" s="50" t="s">
        <v>764</v>
      </c>
      <c r="F461" s="58" t="s">
        <v>43</v>
      </c>
      <c r="G461" s="51">
        <v>509066.01</v>
      </c>
      <c r="H461" s="51"/>
      <c r="I461" s="50" t="s">
        <v>765</v>
      </c>
      <c r="J461" s="58" t="s">
        <v>766</v>
      </c>
      <c r="K461" s="52" t="s">
        <v>46</v>
      </c>
      <c r="L461" s="59">
        <v>42640</v>
      </c>
      <c r="M461" s="60">
        <v>42910</v>
      </c>
      <c r="N461" s="51">
        <v>230305.36</v>
      </c>
      <c r="O461" s="59"/>
      <c r="P461" s="59">
        <v>0</v>
      </c>
      <c r="Q461" s="51"/>
      <c r="R461" s="51">
        <f t="shared" si="21"/>
        <v>230305.36</v>
      </c>
      <c r="S461" s="51"/>
      <c r="T461" s="52" t="s">
        <v>52</v>
      </c>
      <c r="U461" s="51"/>
      <c r="V461" s="51"/>
      <c r="W461" s="51">
        <v>0</v>
      </c>
      <c r="X461" s="51"/>
      <c r="Y461" s="19" t="s">
        <v>714</v>
      </c>
      <c r="Z461" s="19"/>
      <c r="AA461" s="28"/>
      <c r="AB461" s="56"/>
      <c r="AC461" s="28"/>
      <c r="AD461" s="28"/>
      <c r="AE461" s="54"/>
      <c r="AF461" s="54"/>
      <c r="AG461" s="54"/>
      <c r="AH461" s="53"/>
      <c r="AI461" s="53" t="s">
        <v>1591</v>
      </c>
      <c r="AJ461" s="53" t="s">
        <v>1591</v>
      </c>
    </row>
    <row r="462" spans="1:36" s="3" customFormat="1" ht="36" x14ac:dyDescent="0.25">
      <c r="A462" s="17" t="s">
        <v>692</v>
      </c>
      <c r="B462" s="18" t="s">
        <v>37</v>
      </c>
      <c r="C462" s="19" t="s">
        <v>737</v>
      </c>
      <c r="D462" s="45" t="s">
        <v>738</v>
      </c>
      <c r="E462" s="50" t="s">
        <v>739</v>
      </c>
      <c r="F462" s="58" t="s">
        <v>43</v>
      </c>
      <c r="G462" s="51">
        <v>509066.01</v>
      </c>
      <c r="H462" s="51"/>
      <c r="I462" s="50" t="s">
        <v>1547</v>
      </c>
      <c r="J462" s="58" t="s">
        <v>698</v>
      </c>
      <c r="K462" s="52" t="s">
        <v>46</v>
      </c>
      <c r="L462" s="59" t="s">
        <v>46</v>
      </c>
      <c r="M462" s="60"/>
      <c r="N462" s="51">
        <v>230305</v>
      </c>
      <c r="O462" s="59"/>
      <c r="P462" s="59">
        <v>0</v>
      </c>
      <c r="Q462" s="51"/>
      <c r="R462" s="51">
        <f t="shared" si="21"/>
        <v>230305</v>
      </c>
      <c r="S462" s="51"/>
      <c r="T462" s="52" t="s">
        <v>52</v>
      </c>
      <c r="U462" s="51"/>
      <c r="V462" s="51"/>
      <c r="W462" s="51">
        <v>0</v>
      </c>
      <c r="X462" s="51"/>
      <c r="Y462" s="19" t="s">
        <v>740</v>
      </c>
      <c r="Z462" s="19"/>
      <c r="AA462" s="28"/>
      <c r="AB462" s="56"/>
      <c r="AC462" s="28"/>
      <c r="AD462" s="28"/>
      <c r="AE462" s="54"/>
      <c r="AF462" s="54"/>
      <c r="AG462" s="54"/>
      <c r="AH462" s="53"/>
      <c r="AI462" s="53" t="s">
        <v>1591</v>
      </c>
      <c r="AJ462" s="53" t="s">
        <v>1591</v>
      </c>
    </row>
    <row r="463" spans="1:36" s="3" customFormat="1" ht="24" x14ac:dyDescent="0.25">
      <c r="A463" s="17" t="s">
        <v>692</v>
      </c>
      <c r="B463" s="18" t="s">
        <v>37</v>
      </c>
      <c r="C463" s="19" t="s">
        <v>735</v>
      </c>
      <c r="D463" s="45" t="s">
        <v>736</v>
      </c>
      <c r="E463" s="50">
        <v>802307</v>
      </c>
      <c r="F463" s="58" t="s">
        <v>732</v>
      </c>
      <c r="G463" s="51">
        <v>249000</v>
      </c>
      <c r="H463" s="51"/>
      <c r="I463" s="50" t="s">
        <v>642</v>
      </c>
      <c r="J463" s="58" t="s">
        <v>720</v>
      </c>
      <c r="K463" s="52" t="s">
        <v>46</v>
      </c>
      <c r="L463" s="59">
        <v>42492</v>
      </c>
      <c r="M463" s="60">
        <v>42851</v>
      </c>
      <c r="N463" s="51">
        <v>214730.77</v>
      </c>
      <c r="O463" s="59"/>
      <c r="P463" s="59">
        <v>0</v>
      </c>
      <c r="Q463" s="51"/>
      <c r="R463" s="51">
        <f t="shared" si="21"/>
        <v>214730.77</v>
      </c>
      <c r="S463" s="51"/>
      <c r="T463" s="52" t="s">
        <v>52</v>
      </c>
      <c r="U463" s="51"/>
      <c r="V463" s="51"/>
      <c r="W463" s="51">
        <v>0</v>
      </c>
      <c r="X463" s="51"/>
      <c r="Y463" s="19" t="s">
        <v>714</v>
      </c>
      <c r="Z463" s="19"/>
      <c r="AA463" s="28"/>
      <c r="AB463" s="56"/>
      <c r="AC463" s="28"/>
      <c r="AD463" s="28"/>
      <c r="AE463" s="54"/>
      <c r="AF463" s="54"/>
      <c r="AG463" s="54"/>
      <c r="AH463" s="53"/>
      <c r="AI463" s="53" t="s">
        <v>1591</v>
      </c>
      <c r="AJ463" s="53" t="s">
        <v>1591</v>
      </c>
    </row>
    <row r="464" spans="1:36" s="3" customFormat="1" ht="36" x14ac:dyDescent="0.25">
      <c r="A464" s="17" t="s">
        <v>692</v>
      </c>
      <c r="B464" s="18" t="s">
        <v>37</v>
      </c>
      <c r="C464" s="76" t="s">
        <v>4427</v>
      </c>
      <c r="D464" s="45" t="s">
        <v>4428</v>
      </c>
      <c r="E464" s="78" t="s">
        <v>46</v>
      </c>
      <c r="F464" s="79" t="s">
        <v>46</v>
      </c>
      <c r="G464" s="80" t="s">
        <v>46</v>
      </c>
      <c r="H464" s="80"/>
      <c r="I464" s="78" t="s">
        <v>4429</v>
      </c>
      <c r="J464" s="79" t="s">
        <v>4430</v>
      </c>
      <c r="K464" s="81" t="s">
        <v>4431</v>
      </c>
      <c r="L464" s="82">
        <v>41519</v>
      </c>
      <c r="M464" s="83">
        <v>41882</v>
      </c>
      <c r="N464" s="80">
        <v>167422</v>
      </c>
      <c r="O464" s="82"/>
      <c r="P464" s="84"/>
      <c r="Q464" s="80">
        <v>0</v>
      </c>
      <c r="R464" s="80">
        <v>167422</v>
      </c>
      <c r="S464" s="80"/>
      <c r="T464" s="81" t="s">
        <v>81</v>
      </c>
      <c r="U464" s="80"/>
      <c r="V464" s="80"/>
      <c r="W464" s="80"/>
      <c r="X464" s="80">
        <v>112871.56</v>
      </c>
      <c r="Y464" s="76" t="s">
        <v>542</v>
      </c>
      <c r="Z464" s="19" t="s">
        <v>7038</v>
      </c>
      <c r="AA464" s="28"/>
      <c r="AB464" s="56"/>
      <c r="AC464" s="28"/>
      <c r="AD464" s="28"/>
      <c r="AE464" s="54"/>
      <c r="AF464" s="54"/>
      <c r="AG464" s="54"/>
      <c r="AH464" s="53"/>
      <c r="AI464" s="53" t="s">
        <v>1591</v>
      </c>
      <c r="AJ464" s="53" t="s">
        <v>1591</v>
      </c>
    </row>
    <row r="465" spans="1:36" s="3" customFormat="1" ht="36" x14ac:dyDescent="0.25">
      <c r="A465" s="17" t="s">
        <v>692</v>
      </c>
      <c r="B465" s="18" t="s">
        <v>37</v>
      </c>
      <c r="C465" s="19" t="s">
        <v>741</v>
      </c>
      <c r="D465" s="45" t="s">
        <v>719</v>
      </c>
      <c r="E465" s="50" t="s">
        <v>742</v>
      </c>
      <c r="F465" s="58" t="s">
        <v>732</v>
      </c>
      <c r="G465" s="51">
        <v>390000</v>
      </c>
      <c r="H465" s="51"/>
      <c r="I465" s="50" t="s">
        <v>1547</v>
      </c>
      <c r="J465" s="58" t="s">
        <v>698</v>
      </c>
      <c r="K465" s="52" t="s">
        <v>46</v>
      </c>
      <c r="L465" s="59" t="s">
        <v>46</v>
      </c>
      <c r="M465" s="60"/>
      <c r="N465" s="51">
        <v>143804.48000000001</v>
      </c>
      <c r="O465" s="59"/>
      <c r="P465" s="59">
        <v>0</v>
      </c>
      <c r="Q465" s="51"/>
      <c r="R465" s="51">
        <f>N465+Q465</f>
        <v>143804.48000000001</v>
      </c>
      <c r="S465" s="51"/>
      <c r="T465" s="52" t="s">
        <v>52</v>
      </c>
      <c r="U465" s="51"/>
      <c r="V465" s="51"/>
      <c r="W465" s="51">
        <v>0</v>
      </c>
      <c r="X465" s="51"/>
      <c r="Y465" s="19" t="s">
        <v>740</v>
      </c>
      <c r="Z465" s="19"/>
      <c r="AA465" s="28"/>
      <c r="AB465" s="56"/>
      <c r="AC465" s="28"/>
      <c r="AD465" s="28"/>
      <c r="AE465" s="54"/>
      <c r="AF465" s="54"/>
      <c r="AG465" s="54"/>
      <c r="AH465" s="53"/>
      <c r="AI465" s="53" t="s">
        <v>1591</v>
      </c>
      <c r="AJ465" s="53" t="s">
        <v>1591</v>
      </c>
    </row>
    <row r="466" spans="1:36" s="3" customFormat="1" ht="36" x14ac:dyDescent="0.25">
      <c r="A466" s="17" t="s">
        <v>692</v>
      </c>
      <c r="B466" s="18" t="s">
        <v>37</v>
      </c>
      <c r="C466" s="76" t="s">
        <v>4432</v>
      </c>
      <c r="D466" s="45" t="s">
        <v>4433</v>
      </c>
      <c r="E466" s="78" t="s">
        <v>46</v>
      </c>
      <c r="F466" s="79" t="s">
        <v>46</v>
      </c>
      <c r="G466" s="80" t="s">
        <v>46</v>
      </c>
      <c r="H466" s="80"/>
      <c r="I466" s="78" t="s">
        <v>715</v>
      </c>
      <c r="J466" s="79" t="s">
        <v>716</v>
      </c>
      <c r="K466" s="81" t="s">
        <v>4434</v>
      </c>
      <c r="L466" s="82">
        <v>41914</v>
      </c>
      <c r="M466" s="83">
        <v>42454</v>
      </c>
      <c r="N466" s="80">
        <v>142894.53</v>
      </c>
      <c r="O466" s="82"/>
      <c r="P466" s="84"/>
      <c r="Q466" s="80">
        <v>0</v>
      </c>
      <c r="R466" s="80">
        <v>142894.53</v>
      </c>
      <c r="S466" s="80"/>
      <c r="T466" s="81" t="s">
        <v>52</v>
      </c>
      <c r="U466" s="80"/>
      <c r="V466" s="80"/>
      <c r="W466" s="80"/>
      <c r="X466" s="80">
        <v>105725.68</v>
      </c>
      <c r="Y466" s="76" t="s">
        <v>542</v>
      </c>
      <c r="Z466" s="19" t="s">
        <v>7038</v>
      </c>
      <c r="AA466" s="28"/>
      <c r="AB466" s="56"/>
      <c r="AC466" s="28"/>
      <c r="AD466" s="28"/>
      <c r="AE466" s="54"/>
      <c r="AF466" s="54"/>
      <c r="AG466" s="54"/>
      <c r="AH466" s="53"/>
      <c r="AI466" s="53" t="s">
        <v>1591</v>
      </c>
      <c r="AJ466" s="53" t="s">
        <v>1591</v>
      </c>
    </row>
    <row r="467" spans="1:36" s="3" customFormat="1" ht="24" x14ac:dyDescent="0.25">
      <c r="A467" s="17" t="s">
        <v>692</v>
      </c>
      <c r="B467" s="18" t="s">
        <v>37</v>
      </c>
      <c r="C467" s="19" t="s">
        <v>746</v>
      </c>
      <c r="D467" s="45" t="s">
        <v>747</v>
      </c>
      <c r="E467" s="50" t="s">
        <v>46</v>
      </c>
      <c r="F467" s="58" t="s">
        <v>46</v>
      </c>
      <c r="G467" s="51" t="s">
        <v>46</v>
      </c>
      <c r="H467" s="51"/>
      <c r="I467" s="50" t="s">
        <v>700</v>
      </c>
      <c r="J467" s="58" t="s">
        <v>701</v>
      </c>
      <c r="K467" s="52" t="s">
        <v>46</v>
      </c>
      <c r="L467" s="59">
        <v>42592</v>
      </c>
      <c r="M467" s="60">
        <v>42741</v>
      </c>
      <c r="N467" s="51">
        <v>115056</v>
      </c>
      <c r="O467" s="59"/>
      <c r="P467" s="59">
        <v>0</v>
      </c>
      <c r="Q467" s="51"/>
      <c r="R467" s="51">
        <f>N467+Q467</f>
        <v>115056</v>
      </c>
      <c r="S467" s="51"/>
      <c r="T467" s="52" t="s">
        <v>52</v>
      </c>
      <c r="U467" s="51"/>
      <c r="V467" s="51"/>
      <c r="W467" s="51">
        <v>0</v>
      </c>
      <c r="X467" s="51">
        <v>16708.5</v>
      </c>
      <c r="Y467" s="19" t="s">
        <v>714</v>
      </c>
      <c r="Z467" s="19"/>
      <c r="AA467" s="28"/>
      <c r="AB467" s="56"/>
      <c r="AC467" s="28"/>
      <c r="AD467" s="28"/>
      <c r="AE467" s="54"/>
      <c r="AF467" s="54"/>
      <c r="AG467" s="54"/>
      <c r="AH467" s="53"/>
      <c r="AI467" s="53" t="s">
        <v>1591</v>
      </c>
      <c r="AJ467" s="53" t="s">
        <v>1591</v>
      </c>
    </row>
    <row r="468" spans="1:36" s="3" customFormat="1" ht="24" x14ac:dyDescent="0.25">
      <c r="A468" s="17" t="s">
        <v>692</v>
      </c>
      <c r="B468" s="18" t="s">
        <v>37</v>
      </c>
      <c r="C468" s="19" t="s">
        <v>754</v>
      </c>
      <c r="D468" s="45" t="s">
        <v>758</v>
      </c>
      <c r="E468" s="50" t="s">
        <v>199</v>
      </c>
      <c r="F468" s="58" t="s">
        <v>755</v>
      </c>
      <c r="G468" s="51">
        <v>100000</v>
      </c>
      <c r="H468" s="51"/>
      <c r="I468" s="50" t="s">
        <v>756</v>
      </c>
      <c r="J468" s="58" t="s">
        <v>757</v>
      </c>
      <c r="K468" s="52" t="s">
        <v>46</v>
      </c>
      <c r="L468" s="59">
        <v>42601</v>
      </c>
      <c r="M468" s="60">
        <v>42750</v>
      </c>
      <c r="N468" s="51">
        <v>110140.57</v>
      </c>
      <c r="O468" s="59"/>
      <c r="P468" s="59">
        <v>0</v>
      </c>
      <c r="Q468" s="51"/>
      <c r="R468" s="51">
        <f>N468+Q468</f>
        <v>110140.57</v>
      </c>
      <c r="S468" s="51"/>
      <c r="T468" s="52" t="s">
        <v>52</v>
      </c>
      <c r="U468" s="51"/>
      <c r="V468" s="51"/>
      <c r="W468" s="51">
        <v>0</v>
      </c>
      <c r="X468" s="51">
        <v>37443.81</v>
      </c>
      <c r="Y468" s="19" t="s">
        <v>714</v>
      </c>
      <c r="Z468" s="19"/>
      <c r="AA468" s="28"/>
      <c r="AB468" s="56"/>
      <c r="AC468" s="28"/>
      <c r="AD468" s="28"/>
      <c r="AE468" s="54"/>
      <c r="AF468" s="54"/>
      <c r="AG468" s="54"/>
      <c r="AH468" s="53"/>
      <c r="AI468" s="53" t="s">
        <v>1591</v>
      </c>
      <c r="AJ468" s="53" t="s">
        <v>1591</v>
      </c>
    </row>
    <row r="469" spans="1:36" s="3" customFormat="1" ht="24" x14ac:dyDescent="0.25">
      <c r="A469" s="17" t="s">
        <v>692</v>
      </c>
      <c r="B469" s="18" t="s">
        <v>37</v>
      </c>
      <c r="C469" s="19" t="s">
        <v>748</v>
      </c>
      <c r="D469" s="45" t="s">
        <v>749</v>
      </c>
      <c r="E469" s="50" t="s">
        <v>46</v>
      </c>
      <c r="F469" s="58" t="s">
        <v>46</v>
      </c>
      <c r="G469" s="51" t="s">
        <v>46</v>
      </c>
      <c r="H469" s="51"/>
      <c r="I469" s="50" t="s">
        <v>700</v>
      </c>
      <c r="J469" s="58" t="s">
        <v>701</v>
      </c>
      <c r="K469" s="52" t="s">
        <v>46</v>
      </c>
      <c r="L469" s="59">
        <v>42559</v>
      </c>
      <c r="M469" s="60">
        <v>42828</v>
      </c>
      <c r="N469" s="51">
        <v>106330</v>
      </c>
      <c r="O469" s="59"/>
      <c r="P469" s="59">
        <v>0</v>
      </c>
      <c r="Q469" s="51"/>
      <c r="R469" s="51">
        <f>N469+Q469</f>
        <v>106330</v>
      </c>
      <c r="S469" s="51"/>
      <c r="T469" s="52" t="s">
        <v>52</v>
      </c>
      <c r="U469" s="51"/>
      <c r="V469" s="51"/>
      <c r="W469" s="51">
        <v>0</v>
      </c>
      <c r="X469" s="51">
        <v>74967.59</v>
      </c>
      <c r="Y469" s="19" t="s">
        <v>714</v>
      </c>
      <c r="Z469" s="19"/>
      <c r="AA469" s="28"/>
      <c r="AB469" s="56"/>
      <c r="AC469" s="28"/>
      <c r="AD469" s="28"/>
      <c r="AE469" s="54"/>
      <c r="AF469" s="54"/>
      <c r="AG469" s="54"/>
      <c r="AH469" s="53"/>
      <c r="AI469" s="53" t="s">
        <v>1591</v>
      </c>
      <c r="AJ469" s="53" t="s">
        <v>1591</v>
      </c>
    </row>
    <row r="470" spans="1:36" s="3" customFormat="1" ht="24" x14ac:dyDescent="0.25">
      <c r="A470" s="17" t="s">
        <v>692</v>
      </c>
      <c r="B470" s="18" t="s">
        <v>37</v>
      </c>
      <c r="C470" s="19" t="s">
        <v>77</v>
      </c>
      <c r="D470" s="45" t="s">
        <v>718</v>
      </c>
      <c r="E470" s="50" t="s">
        <v>661</v>
      </c>
      <c r="F470" s="58" t="s">
        <v>46</v>
      </c>
      <c r="G470" s="51" t="s">
        <v>46</v>
      </c>
      <c r="H470" s="51"/>
      <c r="I470" s="50" t="s">
        <v>715</v>
      </c>
      <c r="J470" s="58" t="s">
        <v>716</v>
      </c>
      <c r="K470" s="52" t="s">
        <v>704</v>
      </c>
      <c r="L470" s="59">
        <v>41971</v>
      </c>
      <c r="M470" s="60">
        <v>42872</v>
      </c>
      <c r="N470" s="51">
        <v>99058.3</v>
      </c>
      <c r="O470" s="59"/>
      <c r="P470" s="59">
        <v>0</v>
      </c>
      <c r="Q470" s="51"/>
      <c r="R470" s="51">
        <f>N470+Q470</f>
        <v>99058.3</v>
      </c>
      <c r="S470" s="51"/>
      <c r="T470" s="52" t="s">
        <v>52</v>
      </c>
      <c r="U470" s="51"/>
      <c r="V470" s="51"/>
      <c r="W470" s="51">
        <v>0</v>
      </c>
      <c r="X470" s="51">
        <v>46444.35</v>
      </c>
      <c r="Y470" s="19" t="s">
        <v>714</v>
      </c>
      <c r="Z470" s="19"/>
      <c r="AA470" s="28"/>
      <c r="AB470" s="56"/>
      <c r="AC470" s="28"/>
      <c r="AD470" s="28"/>
      <c r="AE470" s="54"/>
      <c r="AF470" s="54"/>
      <c r="AG470" s="54"/>
      <c r="AH470" s="53"/>
      <c r="AI470" s="53" t="s">
        <v>1591</v>
      </c>
      <c r="AJ470" s="53" t="s">
        <v>1591</v>
      </c>
    </row>
    <row r="471" spans="1:36" s="3" customFormat="1" ht="24" x14ac:dyDescent="0.25">
      <c r="A471" s="17" t="s">
        <v>692</v>
      </c>
      <c r="B471" s="18" t="s">
        <v>37</v>
      </c>
      <c r="C471" s="19" t="s">
        <v>77</v>
      </c>
      <c r="D471" s="45" t="s">
        <v>717</v>
      </c>
      <c r="E471" s="50" t="s">
        <v>661</v>
      </c>
      <c r="F471" s="58" t="s">
        <v>46</v>
      </c>
      <c r="G471" s="51" t="s">
        <v>46</v>
      </c>
      <c r="H471" s="51"/>
      <c r="I471" s="50" t="s">
        <v>715</v>
      </c>
      <c r="J471" s="58" t="s">
        <v>716</v>
      </c>
      <c r="K471" s="52" t="s">
        <v>702</v>
      </c>
      <c r="L471" s="59">
        <v>41971</v>
      </c>
      <c r="M471" s="60">
        <v>42787</v>
      </c>
      <c r="N471" s="51">
        <v>88840.69</v>
      </c>
      <c r="O471" s="59"/>
      <c r="P471" s="59">
        <v>0</v>
      </c>
      <c r="Q471" s="51"/>
      <c r="R471" s="51">
        <f>N471+Q471</f>
        <v>88840.69</v>
      </c>
      <c r="S471" s="51"/>
      <c r="T471" s="52" t="s">
        <v>52</v>
      </c>
      <c r="U471" s="51"/>
      <c r="V471" s="51"/>
      <c r="W471" s="51">
        <v>0</v>
      </c>
      <c r="X471" s="51">
        <v>48599.14</v>
      </c>
      <c r="Y471" s="19" t="s">
        <v>714</v>
      </c>
      <c r="Z471" s="19"/>
      <c r="AA471" s="28"/>
      <c r="AB471" s="56"/>
      <c r="AC471" s="28"/>
      <c r="AD471" s="28"/>
      <c r="AE471" s="54"/>
      <c r="AF471" s="54"/>
      <c r="AG471" s="54"/>
      <c r="AH471" s="53"/>
      <c r="AI471" s="53" t="s">
        <v>1591</v>
      </c>
      <c r="AJ471" s="53" t="s">
        <v>1591</v>
      </c>
    </row>
    <row r="472" spans="1:36" s="3" customFormat="1" ht="36" x14ac:dyDescent="0.25">
      <c r="A472" s="17" t="s">
        <v>692</v>
      </c>
      <c r="B472" s="18" t="s">
        <v>37</v>
      </c>
      <c r="C472" s="76" t="s">
        <v>4437</v>
      </c>
      <c r="D472" s="45" t="s">
        <v>4438</v>
      </c>
      <c r="E472" s="78" t="s">
        <v>46</v>
      </c>
      <c r="F472" s="79" t="s">
        <v>46</v>
      </c>
      <c r="G472" s="80" t="s">
        <v>46</v>
      </c>
      <c r="H472" s="80"/>
      <c r="I472" s="78" t="s">
        <v>696</v>
      </c>
      <c r="J472" s="79" t="s">
        <v>697</v>
      </c>
      <c r="K472" s="81" t="s">
        <v>46</v>
      </c>
      <c r="L472" s="82">
        <v>42107</v>
      </c>
      <c r="M472" s="83">
        <v>42466</v>
      </c>
      <c r="N472" s="80">
        <v>78082.8</v>
      </c>
      <c r="O472" s="82"/>
      <c r="P472" s="84"/>
      <c r="Q472" s="80">
        <v>0</v>
      </c>
      <c r="R472" s="80">
        <v>78082.8</v>
      </c>
      <c r="S472" s="80"/>
      <c r="T472" s="81" t="s">
        <v>81</v>
      </c>
      <c r="U472" s="80"/>
      <c r="V472" s="80"/>
      <c r="W472" s="80"/>
      <c r="X472" s="80">
        <v>62130.400000000001</v>
      </c>
      <c r="Y472" s="76" t="s">
        <v>542</v>
      </c>
      <c r="Z472" s="19" t="s">
        <v>7038</v>
      </c>
      <c r="AA472" s="28"/>
      <c r="AB472" s="56"/>
      <c r="AC472" s="28"/>
      <c r="AD472" s="28"/>
      <c r="AE472" s="54"/>
      <c r="AF472" s="54"/>
      <c r="AG472" s="54"/>
      <c r="AH472" s="53"/>
      <c r="AI472" s="53" t="s">
        <v>1591</v>
      </c>
      <c r="AJ472" s="53" t="s">
        <v>1591</v>
      </c>
    </row>
    <row r="473" spans="1:36" s="3" customFormat="1" ht="36" x14ac:dyDescent="0.25">
      <c r="A473" s="17" t="s">
        <v>692</v>
      </c>
      <c r="B473" s="18" t="s">
        <v>37</v>
      </c>
      <c r="C473" s="76" t="s">
        <v>708</v>
      </c>
      <c r="D473" s="45" t="s">
        <v>4439</v>
      </c>
      <c r="E473" s="78" t="s">
        <v>4426</v>
      </c>
      <c r="F473" s="79" t="s">
        <v>661</v>
      </c>
      <c r="G473" s="80">
        <v>70836.88</v>
      </c>
      <c r="H473" s="80"/>
      <c r="I473" s="78" t="s">
        <v>4421</v>
      </c>
      <c r="J473" s="79" t="s">
        <v>698</v>
      </c>
      <c r="K473" s="81" t="s">
        <v>4436</v>
      </c>
      <c r="L473" s="82">
        <v>41558</v>
      </c>
      <c r="M473" s="83">
        <v>42007</v>
      </c>
      <c r="N473" s="80">
        <v>68732.509999999995</v>
      </c>
      <c r="O473" s="82"/>
      <c r="P473" s="84"/>
      <c r="Q473" s="80">
        <v>0</v>
      </c>
      <c r="R473" s="80">
        <v>68732.509999999995</v>
      </c>
      <c r="S473" s="80"/>
      <c r="T473" s="81" t="s">
        <v>52</v>
      </c>
      <c r="U473" s="80"/>
      <c r="V473" s="80"/>
      <c r="W473" s="80"/>
      <c r="X473" s="80">
        <v>60728.26</v>
      </c>
      <c r="Y473" s="76" t="s">
        <v>542</v>
      </c>
      <c r="Z473" s="19" t="s">
        <v>7038</v>
      </c>
      <c r="AA473" s="28"/>
      <c r="AB473" s="56"/>
      <c r="AC473" s="28"/>
      <c r="AD473" s="28"/>
      <c r="AE473" s="54"/>
      <c r="AF473" s="54"/>
      <c r="AG473" s="54"/>
      <c r="AH473" s="53"/>
      <c r="AI473" s="53" t="s">
        <v>1591</v>
      </c>
      <c r="AJ473" s="53" t="s">
        <v>1591</v>
      </c>
    </row>
    <row r="474" spans="1:36" s="3" customFormat="1" ht="36" x14ac:dyDescent="0.25">
      <c r="A474" s="17" t="s">
        <v>692</v>
      </c>
      <c r="B474" s="18" t="s">
        <v>37</v>
      </c>
      <c r="C474" s="76" t="s">
        <v>4440</v>
      </c>
      <c r="D474" s="45" t="s">
        <v>4441</v>
      </c>
      <c r="E474" s="78" t="s">
        <v>46</v>
      </c>
      <c r="F474" s="79" t="s">
        <v>46</v>
      </c>
      <c r="G474" s="80" t="s">
        <v>46</v>
      </c>
      <c r="H474" s="80"/>
      <c r="I474" s="78" t="s">
        <v>723</v>
      </c>
      <c r="J474" s="79" t="s">
        <v>724</v>
      </c>
      <c r="K474" s="81" t="s">
        <v>46</v>
      </c>
      <c r="L474" s="82">
        <v>41999</v>
      </c>
      <c r="M474" s="83">
        <v>42418</v>
      </c>
      <c r="N474" s="80">
        <v>35525.06</v>
      </c>
      <c r="O474" s="82"/>
      <c r="P474" s="84"/>
      <c r="Q474" s="80">
        <v>0</v>
      </c>
      <c r="R474" s="80">
        <v>35525.06</v>
      </c>
      <c r="S474" s="80"/>
      <c r="T474" s="81" t="s">
        <v>52</v>
      </c>
      <c r="U474" s="80"/>
      <c r="V474" s="80"/>
      <c r="W474" s="80"/>
      <c r="X474" s="80">
        <v>27946.11</v>
      </c>
      <c r="Y474" s="76" t="s">
        <v>542</v>
      </c>
      <c r="Z474" s="19" t="s">
        <v>7038</v>
      </c>
      <c r="AA474" s="28"/>
      <c r="AB474" s="56"/>
      <c r="AC474" s="28"/>
      <c r="AD474" s="28"/>
      <c r="AE474" s="54"/>
      <c r="AF474" s="54"/>
      <c r="AG474" s="54"/>
      <c r="AH474" s="53"/>
      <c r="AI474" s="53" t="s">
        <v>1591</v>
      </c>
      <c r="AJ474" s="53" t="s">
        <v>1591</v>
      </c>
    </row>
    <row r="475" spans="1:36" s="3" customFormat="1" ht="24" x14ac:dyDescent="0.25">
      <c r="A475" s="17" t="s">
        <v>692</v>
      </c>
      <c r="B475" s="18" t="s">
        <v>37</v>
      </c>
      <c r="C475" s="19" t="s">
        <v>3372</v>
      </c>
      <c r="D475" s="45" t="s">
        <v>3374</v>
      </c>
      <c r="E475" s="50" t="s">
        <v>3658</v>
      </c>
      <c r="F475" s="58" t="s">
        <v>562</v>
      </c>
      <c r="G475" s="51"/>
      <c r="H475" s="51"/>
      <c r="I475" s="50" t="s">
        <v>712</v>
      </c>
      <c r="J475" s="58" t="s">
        <v>713</v>
      </c>
      <c r="K475" s="52"/>
      <c r="L475" s="59"/>
      <c r="M475" s="60"/>
      <c r="N475" s="51"/>
      <c r="O475" s="59"/>
      <c r="P475" s="59">
        <v>0</v>
      </c>
      <c r="Q475" s="51"/>
      <c r="R475" s="51">
        <f>N475+Q475</f>
        <v>0</v>
      </c>
      <c r="S475" s="51"/>
      <c r="T475" s="52" t="s">
        <v>907</v>
      </c>
      <c r="U475" s="51">
        <v>65199.32</v>
      </c>
      <c r="V475" s="51"/>
      <c r="W475" s="51">
        <v>239144.16</v>
      </c>
      <c r="X475" s="51">
        <v>239144.16</v>
      </c>
      <c r="Y475" s="19" t="s">
        <v>714</v>
      </c>
      <c r="Z475" s="19" t="s">
        <v>4307</v>
      </c>
      <c r="AA475" s="28"/>
      <c r="AB475" s="56"/>
      <c r="AC475" s="28"/>
      <c r="AD475" s="28"/>
      <c r="AE475" s="54"/>
      <c r="AF475" s="54"/>
      <c r="AG475" s="54"/>
      <c r="AH475" s="53"/>
      <c r="AI475" s="53" t="s">
        <v>1591</v>
      </c>
      <c r="AJ475" s="53" t="s">
        <v>1591</v>
      </c>
    </row>
    <row r="476" spans="1:36" s="3" customFormat="1" ht="36" x14ac:dyDescent="0.25">
      <c r="A476" s="17" t="s">
        <v>771</v>
      </c>
      <c r="B476" s="18" t="s">
        <v>37</v>
      </c>
      <c r="C476" s="19" t="s">
        <v>3388</v>
      </c>
      <c r="D476" s="45" t="s">
        <v>3389</v>
      </c>
      <c r="E476" s="50"/>
      <c r="F476" s="58"/>
      <c r="G476" s="51"/>
      <c r="H476" s="51"/>
      <c r="I476" s="50" t="s">
        <v>772</v>
      </c>
      <c r="J476" s="58" t="s">
        <v>774</v>
      </c>
      <c r="K476" s="52" t="s">
        <v>3674</v>
      </c>
      <c r="L476" s="59">
        <v>42226</v>
      </c>
      <c r="M476" s="60">
        <f>L476+240</f>
        <v>42466</v>
      </c>
      <c r="N476" s="51">
        <v>1958565.47</v>
      </c>
      <c r="O476" s="59"/>
      <c r="P476" s="59">
        <v>43199</v>
      </c>
      <c r="Q476" s="51"/>
      <c r="R476" s="51">
        <f>N476+Q476</f>
        <v>1958565.47</v>
      </c>
      <c r="S476" s="51"/>
      <c r="T476" s="52" t="s">
        <v>52</v>
      </c>
      <c r="U476" s="51">
        <v>147686.24</v>
      </c>
      <c r="V476" s="51">
        <v>147686.24</v>
      </c>
      <c r="W476" s="51">
        <v>147686.24</v>
      </c>
      <c r="X476" s="51">
        <v>147686.24</v>
      </c>
      <c r="Y476" s="19" t="s">
        <v>646</v>
      </c>
      <c r="Z476" s="19"/>
      <c r="AA476" s="28" t="s">
        <v>7442</v>
      </c>
      <c r="AB476" s="56">
        <v>43439</v>
      </c>
      <c r="AC476" s="28" t="s">
        <v>7443</v>
      </c>
      <c r="AD476" s="28" t="s">
        <v>7444</v>
      </c>
      <c r="AE476" s="54" t="s">
        <v>7445</v>
      </c>
      <c r="AF476" s="54"/>
      <c r="AG476" s="54" t="s">
        <v>542</v>
      </c>
      <c r="AH476" s="53" t="s">
        <v>1591</v>
      </c>
      <c r="AI476" s="53" t="s">
        <v>2686</v>
      </c>
      <c r="AJ476" s="53" t="s">
        <v>1591</v>
      </c>
    </row>
    <row r="477" spans="1:36" s="3" customFormat="1" ht="72" x14ac:dyDescent="0.25">
      <c r="A477" s="17" t="s">
        <v>771</v>
      </c>
      <c r="B477" s="18" t="s">
        <v>37</v>
      </c>
      <c r="C477" s="19" t="s">
        <v>3377</v>
      </c>
      <c r="D477" s="45" t="s">
        <v>3378</v>
      </c>
      <c r="E477" s="50"/>
      <c r="F477" s="58"/>
      <c r="G477" s="51"/>
      <c r="H477" s="51"/>
      <c r="I477" s="50" t="s">
        <v>886</v>
      </c>
      <c r="J477" s="58" t="s">
        <v>3660</v>
      </c>
      <c r="K477" s="52" t="s">
        <v>3661</v>
      </c>
      <c r="L477" s="59">
        <v>40900</v>
      </c>
      <c r="M477" s="60">
        <f>L477+240</f>
        <v>41140</v>
      </c>
      <c r="N477" s="51">
        <v>1835319.41</v>
      </c>
      <c r="O477" s="59"/>
      <c r="P477" s="59">
        <v>43240</v>
      </c>
      <c r="Q477" s="51"/>
      <c r="R477" s="51">
        <f>N477+Q477</f>
        <v>1835319.41</v>
      </c>
      <c r="S477" s="51"/>
      <c r="T477" s="52" t="s">
        <v>52</v>
      </c>
      <c r="U477" s="51">
        <v>195315.52</v>
      </c>
      <c r="V477" s="51">
        <v>195315.52</v>
      </c>
      <c r="W477" s="51">
        <v>195315.52</v>
      </c>
      <c r="X477" s="51">
        <v>195315.52</v>
      </c>
      <c r="Y477" s="19" t="s">
        <v>42</v>
      </c>
      <c r="Z477" s="19"/>
      <c r="AA477" s="28" t="s">
        <v>7442</v>
      </c>
      <c r="AB477" s="56">
        <v>43439</v>
      </c>
      <c r="AC477" s="28" t="s">
        <v>7443</v>
      </c>
      <c r="AD477" s="28" t="s">
        <v>7444</v>
      </c>
      <c r="AE477" s="54" t="s">
        <v>7446</v>
      </c>
      <c r="AF477" s="54"/>
      <c r="AG477" s="54" t="s">
        <v>7447</v>
      </c>
      <c r="AH477" s="53" t="s">
        <v>1591</v>
      </c>
      <c r="AI477" s="53" t="s">
        <v>2686</v>
      </c>
      <c r="AJ477" s="53" t="s">
        <v>1591</v>
      </c>
    </row>
    <row r="478" spans="1:36" s="3" customFormat="1" ht="72" x14ac:dyDescent="0.25">
      <c r="A478" s="17" t="s">
        <v>771</v>
      </c>
      <c r="B478" s="18" t="s">
        <v>37</v>
      </c>
      <c r="C478" s="76" t="s">
        <v>4444</v>
      </c>
      <c r="D478" s="45" t="s">
        <v>4445</v>
      </c>
      <c r="E478" s="78"/>
      <c r="F478" s="79"/>
      <c r="G478" s="80"/>
      <c r="H478" s="80"/>
      <c r="I478" s="78" t="s">
        <v>773</v>
      </c>
      <c r="J478" s="79" t="s">
        <v>4446</v>
      </c>
      <c r="K478" s="81"/>
      <c r="L478" s="82">
        <v>41611</v>
      </c>
      <c r="M478" s="83">
        <v>41791</v>
      </c>
      <c r="N478" s="80">
        <v>1116946.67</v>
      </c>
      <c r="O478" s="82"/>
      <c r="P478" s="84"/>
      <c r="Q478" s="80">
        <v>9919.7900000000373</v>
      </c>
      <c r="R478" s="80">
        <v>1126866.46</v>
      </c>
      <c r="S478" s="80"/>
      <c r="T478" s="81" t="s">
        <v>52</v>
      </c>
      <c r="U478" s="80">
        <v>9919.7900000000009</v>
      </c>
      <c r="V478" s="80"/>
      <c r="W478" s="80"/>
      <c r="X478" s="80">
        <v>9919.7900000000009</v>
      </c>
      <c r="Y478" s="76" t="s">
        <v>133</v>
      </c>
      <c r="Z478" s="19" t="s">
        <v>7038</v>
      </c>
      <c r="AA478" s="28" t="s">
        <v>7442</v>
      </c>
      <c r="AB478" s="56">
        <v>43439</v>
      </c>
      <c r="AC478" s="28" t="s">
        <v>7443</v>
      </c>
      <c r="AD478" s="28" t="s">
        <v>7444</v>
      </c>
      <c r="AE478" s="54" t="s">
        <v>7448</v>
      </c>
      <c r="AF478" s="54"/>
      <c r="AG478" s="54" t="s">
        <v>186</v>
      </c>
      <c r="AH478" s="53" t="s">
        <v>1591</v>
      </c>
      <c r="AI478" s="53" t="s">
        <v>2686</v>
      </c>
      <c r="AJ478" s="53" t="s">
        <v>1591</v>
      </c>
    </row>
    <row r="479" spans="1:36" s="3" customFormat="1" ht="48" x14ac:dyDescent="0.25">
      <c r="A479" s="17" t="s">
        <v>771</v>
      </c>
      <c r="B479" s="18" t="s">
        <v>37</v>
      </c>
      <c r="C479" s="19" t="s">
        <v>3379</v>
      </c>
      <c r="D479" s="45" t="s">
        <v>3380</v>
      </c>
      <c r="E479" s="50"/>
      <c r="F479" s="58"/>
      <c r="G479" s="51"/>
      <c r="H479" s="51"/>
      <c r="I479" s="50" t="s">
        <v>79</v>
      </c>
      <c r="J479" s="58" t="s">
        <v>1884</v>
      </c>
      <c r="K479" s="52" t="s">
        <v>310</v>
      </c>
      <c r="L479" s="59">
        <v>42608</v>
      </c>
      <c r="M479" s="60">
        <f>L479+150</f>
        <v>42758</v>
      </c>
      <c r="N479" s="51">
        <v>759610.39</v>
      </c>
      <c r="O479" s="59"/>
      <c r="P479" s="59">
        <v>0</v>
      </c>
      <c r="Q479" s="51"/>
      <c r="R479" s="51">
        <f>N479+Q479</f>
        <v>759610.39</v>
      </c>
      <c r="S479" s="51"/>
      <c r="T479" s="52" t="s">
        <v>52</v>
      </c>
      <c r="U479" s="51">
        <v>51690.82</v>
      </c>
      <c r="V479" s="51">
        <v>51690.82</v>
      </c>
      <c r="W479" s="51">
        <v>51690.82</v>
      </c>
      <c r="X479" s="51">
        <v>51690.82</v>
      </c>
      <c r="Y479" s="19" t="s">
        <v>2861</v>
      </c>
      <c r="Z479" s="19"/>
      <c r="AA479" s="28" t="s">
        <v>7442</v>
      </c>
      <c r="AB479" s="56">
        <v>43439</v>
      </c>
      <c r="AC479" s="28" t="s">
        <v>7443</v>
      </c>
      <c r="AD479" s="28" t="s">
        <v>7444</v>
      </c>
      <c r="AE479" s="54" t="s">
        <v>7449</v>
      </c>
      <c r="AF479" s="54"/>
      <c r="AG479" s="54" t="s">
        <v>7450</v>
      </c>
      <c r="AH479" s="53" t="s">
        <v>1591</v>
      </c>
      <c r="AI479" s="53" t="s">
        <v>2686</v>
      </c>
      <c r="AJ479" s="53" t="s">
        <v>1591</v>
      </c>
    </row>
    <row r="480" spans="1:36" s="3" customFormat="1" ht="60" x14ac:dyDescent="0.25">
      <c r="A480" s="17" t="s">
        <v>771</v>
      </c>
      <c r="B480" s="18" t="s">
        <v>37</v>
      </c>
      <c r="C480" s="76" t="s">
        <v>4448</v>
      </c>
      <c r="D480" s="45" t="s">
        <v>4449</v>
      </c>
      <c r="E480" s="78"/>
      <c r="F480" s="79"/>
      <c r="G480" s="80"/>
      <c r="H480" s="80"/>
      <c r="I480" s="78" t="s">
        <v>772</v>
      </c>
      <c r="J480" s="79" t="s">
        <v>774</v>
      </c>
      <c r="K480" s="81"/>
      <c r="L480" s="82">
        <v>41844</v>
      </c>
      <c r="M480" s="83">
        <v>41994</v>
      </c>
      <c r="N480" s="80">
        <v>434037.39</v>
      </c>
      <c r="O480" s="82"/>
      <c r="P480" s="84"/>
      <c r="Q480" s="80">
        <v>0</v>
      </c>
      <c r="R480" s="80">
        <v>434037.39</v>
      </c>
      <c r="S480" s="80"/>
      <c r="T480" s="81" t="s">
        <v>52</v>
      </c>
      <c r="U480" s="80">
        <v>38491.83</v>
      </c>
      <c r="V480" s="80"/>
      <c r="W480" s="80"/>
      <c r="X480" s="80">
        <v>38491.83</v>
      </c>
      <c r="Y480" s="76" t="s">
        <v>133</v>
      </c>
      <c r="Z480" s="19" t="s">
        <v>7038</v>
      </c>
      <c r="AA480" s="28" t="s">
        <v>7442</v>
      </c>
      <c r="AB480" s="56">
        <v>43439</v>
      </c>
      <c r="AC480" s="28" t="s">
        <v>7443</v>
      </c>
      <c r="AD480" s="28" t="s">
        <v>7444</v>
      </c>
      <c r="AE480" s="54" t="s">
        <v>7451</v>
      </c>
      <c r="AF480" s="54"/>
      <c r="AG480" s="54" t="s">
        <v>186</v>
      </c>
      <c r="AH480" s="53" t="s">
        <v>1591</v>
      </c>
      <c r="AI480" s="53" t="s">
        <v>2686</v>
      </c>
      <c r="AJ480" s="53" t="s">
        <v>1591</v>
      </c>
    </row>
    <row r="481" spans="1:36" s="3" customFormat="1" ht="60" x14ac:dyDescent="0.25">
      <c r="A481" s="17" t="s">
        <v>771</v>
      </c>
      <c r="B481" s="18" t="s">
        <v>37</v>
      </c>
      <c r="C481" s="76" t="s">
        <v>4450</v>
      </c>
      <c r="D481" s="45" t="s">
        <v>4451</v>
      </c>
      <c r="E481" s="78"/>
      <c r="F481" s="79"/>
      <c r="G481" s="80"/>
      <c r="H481" s="80"/>
      <c r="I481" s="78" t="s">
        <v>79</v>
      </c>
      <c r="J481" s="79" t="s">
        <v>4447</v>
      </c>
      <c r="K481" s="81"/>
      <c r="L481" s="82">
        <v>42594</v>
      </c>
      <c r="M481" s="83">
        <v>42744</v>
      </c>
      <c r="N481" s="80">
        <v>429478.68</v>
      </c>
      <c r="O481" s="82"/>
      <c r="P481" s="84"/>
      <c r="Q481" s="80">
        <v>0</v>
      </c>
      <c r="R481" s="80">
        <v>429478.68</v>
      </c>
      <c r="S481" s="80"/>
      <c r="T481" s="81" t="s">
        <v>4452</v>
      </c>
      <c r="U481" s="80">
        <v>57161.75</v>
      </c>
      <c r="V481" s="80"/>
      <c r="W481" s="80"/>
      <c r="X481" s="80">
        <v>57161.75</v>
      </c>
      <c r="Y481" s="76" t="s">
        <v>133</v>
      </c>
      <c r="Z481" s="19" t="s">
        <v>7038</v>
      </c>
      <c r="AA481" s="28" t="s">
        <v>7442</v>
      </c>
      <c r="AB481" s="56">
        <v>43439</v>
      </c>
      <c r="AC481" s="28" t="s">
        <v>7443</v>
      </c>
      <c r="AD481" s="28" t="s">
        <v>7444</v>
      </c>
      <c r="AE481" s="54" t="s">
        <v>7452</v>
      </c>
      <c r="AF481" s="54"/>
      <c r="AG481" s="54" t="s">
        <v>7453</v>
      </c>
      <c r="AH481" s="53" t="s">
        <v>1591</v>
      </c>
      <c r="AI481" s="53" t="s">
        <v>2686</v>
      </c>
      <c r="AJ481" s="53" t="s">
        <v>1591</v>
      </c>
    </row>
    <row r="482" spans="1:36" s="3" customFormat="1" ht="60" x14ac:dyDescent="0.25">
      <c r="A482" s="17" t="s">
        <v>771</v>
      </c>
      <c r="B482" s="18" t="s">
        <v>37</v>
      </c>
      <c r="C482" s="76" t="s">
        <v>4453</v>
      </c>
      <c r="D482" s="45" t="s">
        <v>4454</v>
      </c>
      <c r="E482" s="78"/>
      <c r="F482" s="79"/>
      <c r="G482" s="80"/>
      <c r="H482" s="80"/>
      <c r="I482" s="78" t="s">
        <v>79</v>
      </c>
      <c r="J482" s="79" t="s">
        <v>4447</v>
      </c>
      <c r="K482" s="81"/>
      <c r="L482" s="82">
        <v>42598</v>
      </c>
      <c r="M482" s="83">
        <v>42718</v>
      </c>
      <c r="N482" s="80">
        <v>421254.26</v>
      </c>
      <c r="O482" s="82"/>
      <c r="P482" s="84"/>
      <c r="Q482" s="80">
        <v>0</v>
      </c>
      <c r="R482" s="80">
        <v>421254.26</v>
      </c>
      <c r="S482" s="80"/>
      <c r="T482" s="81" t="s">
        <v>52</v>
      </c>
      <c r="U482" s="80">
        <v>55498.01</v>
      </c>
      <c r="V482" s="80"/>
      <c r="W482" s="80"/>
      <c r="X482" s="80">
        <v>55498.01</v>
      </c>
      <c r="Y482" s="76" t="s">
        <v>133</v>
      </c>
      <c r="Z482" s="19" t="s">
        <v>7038</v>
      </c>
      <c r="AA482" s="28" t="s">
        <v>7442</v>
      </c>
      <c r="AB482" s="56">
        <v>43439</v>
      </c>
      <c r="AC482" s="28" t="s">
        <v>7443</v>
      </c>
      <c r="AD482" s="28" t="s">
        <v>7444</v>
      </c>
      <c r="AE482" s="54" t="s">
        <v>7452</v>
      </c>
      <c r="AF482" s="54"/>
      <c r="AG482" s="54" t="s">
        <v>7453</v>
      </c>
      <c r="AH482" s="53" t="s">
        <v>1591</v>
      </c>
      <c r="AI482" s="53" t="s">
        <v>2686</v>
      </c>
      <c r="AJ482" s="53" t="s">
        <v>1591</v>
      </c>
    </row>
    <row r="483" spans="1:36" s="3" customFormat="1" ht="36" x14ac:dyDescent="0.25">
      <c r="A483" s="17" t="s">
        <v>771</v>
      </c>
      <c r="B483" s="18" t="s">
        <v>37</v>
      </c>
      <c r="C483" s="19" t="s">
        <v>3375</v>
      </c>
      <c r="D483" s="45" t="s">
        <v>3376</v>
      </c>
      <c r="E483" s="50"/>
      <c r="F483" s="58"/>
      <c r="G483" s="51"/>
      <c r="H483" s="51"/>
      <c r="I483" s="50" t="s">
        <v>1505</v>
      </c>
      <c r="J483" s="58" t="s">
        <v>3659</v>
      </c>
      <c r="K483" s="52" t="s">
        <v>1315</v>
      </c>
      <c r="L483" s="59">
        <v>42599</v>
      </c>
      <c r="M483" s="60">
        <f>L483+90</f>
        <v>42689</v>
      </c>
      <c r="N483" s="51">
        <v>411888.83</v>
      </c>
      <c r="O483" s="59"/>
      <c r="P483" s="59">
        <v>0</v>
      </c>
      <c r="Q483" s="51"/>
      <c r="R483" s="51">
        <f t="shared" ref="R483:R491" si="22">N483+Q483</f>
        <v>411888.83</v>
      </c>
      <c r="S483" s="51"/>
      <c r="T483" s="52" t="s">
        <v>52</v>
      </c>
      <c r="U483" s="51">
        <v>100000</v>
      </c>
      <c r="V483" s="51">
        <v>100000</v>
      </c>
      <c r="W483" s="51">
        <v>100000</v>
      </c>
      <c r="X483" s="51">
        <v>100000</v>
      </c>
      <c r="Y483" s="19" t="s">
        <v>2861</v>
      </c>
      <c r="Z483" s="19"/>
      <c r="AA483" s="28" t="s">
        <v>7442</v>
      </c>
      <c r="AB483" s="56">
        <v>43439</v>
      </c>
      <c r="AC483" s="28" t="s">
        <v>7443</v>
      </c>
      <c r="AD483" s="28" t="s">
        <v>7444</v>
      </c>
      <c r="AE483" s="54" t="s">
        <v>7454</v>
      </c>
      <c r="AF483" s="54"/>
      <c r="AG483" s="54" t="s">
        <v>7455</v>
      </c>
      <c r="AH483" s="53" t="s">
        <v>1591</v>
      </c>
      <c r="AI483" s="53" t="s">
        <v>2686</v>
      </c>
      <c r="AJ483" s="53" t="s">
        <v>1591</v>
      </c>
    </row>
    <row r="484" spans="1:36" s="3" customFormat="1" ht="36" x14ac:dyDescent="0.25">
      <c r="A484" s="17" t="s">
        <v>771</v>
      </c>
      <c r="B484" s="18" t="s">
        <v>37</v>
      </c>
      <c r="C484" s="19" t="s">
        <v>3386</v>
      </c>
      <c r="D484" s="45" t="s">
        <v>3387</v>
      </c>
      <c r="E484" s="50"/>
      <c r="F484" s="58"/>
      <c r="G484" s="51"/>
      <c r="H484" s="51"/>
      <c r="I484" s="50" t="s">
        <v>3672</v>
      </c>
      <c r="J484" s="58" t="s">
        <v>3673</v>
      </c>
      <c r="K484" s="52" t="s">
        <v>114</v>
      </c>
      <c r="L484" s="59">
        <v>42599</v>
      </c>
      <c r="M484" s="60">
        <f>L484+120</f>
        <v>42719</v>
      </c>
      <c r="N484" s="51">
        <v>324512.03999999998</v>
      </c>
      <c r="O484" s="59"/>
      <c r="P484" s="59">
        <v>0</v>
      </c>
      <c r="Q484" s="51"/>
      <c r="R484" s="51">
        <f t="shared" si="22"/>
        <v>324512.03999999998</v>
      </c>
      <c r="S484" s="51"/>
      <c r="T484" s="52" t="s">
        <v>52</v>
      </c>
      <c r="U484" s="51">
        <v>17866.259999999998</v>
      </c>
      <c r="V484" s="51">
        <v>17866.259999999998</v>
      </c>
      <c r="W484" s="51">
        <v>17866.259999999998</v>
      </c>
      <c r="X484" s="51">
        <v>17866.259999999998</v>
      </c>
      <c r="Y484" s="19" t="s">
        <v>646</v>
      </c>
      <c r="Z484" s="19"/>
      <c r="AA484" s="28" t="s">
        <v>7442</v>
      </c>
      <c r="AB484" s="56">
        <v>43439</v>
      </c>
      <c r="AC484" s="28" t="s">
        <v>7443</v>
      </c>
      <c r="AD484" s="28" t="s">
        <v>7444</v>
      </c>
      <c r="AE484" s="54" t="s">
        <v>7454</v>
      </c>
      <c r="AF484" s="54"/>
      <c r="AG484" s="54" t="s">
        <v>2861</v>
      </c>
      <c r="AH484" s="53" t="s">
        <v>1591</v>
      </c>
      <c r="AI484" s="53" t="s">
        <v>2686</v>
      </c>
      <c r="AJ484" s="53" t="s">
        <v>1591</v>
      </c>
    </row>
    <row r="485" spans="1:36" s="3" customFormat="1" ht="36" x14ac:dyDescent="0.25">
      <c r="A485" s="17" t="s">
        <v>771</v>
      </c>
      <c r="B485" s="18" t="s">
        <v>37</v>
      </c>
      <c r="C485" s="19"/>
      <c r="D485" s="45" t="s">
        <v>3381</v>
      </c>
      <c r="E485" s="50"/>
      <c r="F485" s="58"/>
      <c r="G485" s="51"/>
      <c r="H485" s="51"/>
      <c r="I485" s="50" t="s">
        <v>3662</v>
      </c>
      <c r="J485" s="58" t="s">
        <v>3663</v>
      </c>
      <c r="K485" s="52"/>
      <c r="L485" s="59"/>
      <c r="M485" s="60"/>
      <c r="N485" s="51"/>
      <c r="O485" s="59"/>
      <c r="P485" s="59">
        <v>0</v>
      </c>
      <c r="Q485" s="51"/>
      <c r="R485" s="51">
        <f t="shared" si="22"/>
        <v>0</v>
      </c>
      <c r="S485" s="51"/>
      <c r="T485" s="52" t="s">
        <v>1148</v>
      </c>
      <c r="U485" s="51">
        <v>13200</v>
      </c>
      <c r="V485" s="51">
        <v>13200</v>
      </c>
      <c r="W485" s="51">
        <v>13200</v>
      </c>
      <c r="X485" s="51">
        <v>13200</v>
      </c>
      <c r="Y485" s="19" t="s">
        <v>646</v>
      </c>
      <c r="Z485" s="19" t="s">
        <v>4307</v>
      </c>
      <c r="AA485" s="28" t="s">
        <v>7442</v>
      </c>
      <c r="AB485" s="56">
        <v>43439</v>
      </c>
      <c r="AC485" s="28" t="s">
        <v>7443</v>
      </c>
      <c r="AD485" s="28" t="s">
        <v>7444</v>
      </c>
      <c r="AE485" s="54" t="s">
        <v>7456</v>
      </c>
      <c r="AF485" s="54"/>
      <c r="AG485" s="54"/>
      <c r="AH485" s="53" t="s">
        <v>1591</v>
      </c>
      <c r="AI485" s="53" t="s">
        <v>2686</v>
      </c>
      <c r="AJ485" s="53" t="s">
        <v>1591</v>
      </c>
    </row>
    <row r="486" spans="1:36" s="3" customFormat="1" ht="24" x14ac:dyDescent="0.25">
      <c r="A486" s="17" t="s">
        <v>771</v>
      </c>
      <c r="B486" s="18" t="s">
        <v>37</v>
      </c>
      <c r="C486" s="19"/>
      <c r="D486" s="45" t="s">
        <v>3384</v>
      </c>
      <c r="E486" s="50"/>
      <c r="F486" s="58"/>
      <c r="G486" s="51"/>
      <c r="H486" s="51"/>
      <c r="I486" s="50" t="s">
        <v>3668</v>
      </c>
      <c r="J486" s="58" t="s">
        <v>3669</v>
      </c>
      <c r="K486" s="52"/>
      <c r="L486" s="59"/>
      <c r="M486" s="60"/>
      <c r="N486" s="51"/>
      <c r="O486" s="59"/>
      <c r="P486" s="59">
        <v>0</v>
      </c>
      <c r="Q486" s="51"/>
      <c r="R486" s="51">
        <f t="shared" si="22"/>
        <v>0</v>
      </c>
      <c r="S486" s="51"/>
      <c r="T486" s="52" t="s">
        <v>1148</v>
      </c>
      <c r="U486" s="51">
        <v>1470</v>
      </c>
      <c r="V486" s="51">
        <v>1470</v>
      </c>
      <c r="W486" s="51">
        <v>1470</v>
      </c>
      <c r="X486" s="51">
        <v>1470</v>
      </c>
      <c r="Y486" s="19" t="s">
        <v>646</v>
      </c>
      <c r="Z486" s="19" t="s">
        <v>4307</v>
      </c>
      <c r="AA486" s="28" t="s">
        <v>7442</v>
      </c>
      <c r="AB486" s="56">
        <v>43439</v>
      </c>
      <c r="AC486" s="28" t="s">
        <v>7443</v>
      </c>
      <c r="AD486" s="28" t="s">
        <v>7444</v>
      </c>
      <c r="AE486" s="54" t="s">
        <v>7456</v>
      </c>
      <c r="AF486" s="54"/>
      <c r="AG486" s="54"/>
      <c r="AH486" s="53" t="s">
        <v>1591</v>
      </c>
      <c r="AI486" s="53" t="s">
        <v>2686</v>
      </c>
      <c r="AJ486" s="53" t="s">
        <v>1591</v>
      </c>
    </row>
    <row r="487" spans="1:36" s="3" customFormat="1" ht="24" x14ac:dyDescent="0.25">
      <c r="A487" s="17" t="s">
        <v>771</v>
      </c>
      <c r="B487" s="18" t="s">
        <v>37</v>
      </c>
      <c r="C487" s="19"/>
      <c r="D487" s="45" t="s">
        <v>3382</v>
      </c>
      <c r="E487" s="50"/>
      <c r="F487" s="58"/>
      <c r="G487" s="51"/>
      <c r="H487" s="51"/>
      <c r="I487" s="50" t="s">
        <v>3664</v>
      </c>
      <c r="J487" s="58" t="s">
        <v>3665</v>
      </c>
      <c r="K487" s="52"/>
      <c r="L487" s="59"/>
      <c r="M487" s="60"/>
      <c r="N487" s="51"/>
      <c r="O487" s="59"/>
      <c r="P487" s="59">
        <v>0</v>
      </c>
      <c r="Q487" s="51"/>
      <c r="R487" s="51">
        <f t="shared" si="22"/>
        <v>0</v>
      </c>
      <c r="S487" s="51"/>
      <c r="T487" s="52" t="s">
        <v>1148</v>
      </c>
      <c r="U487" s="51">
        <v>2350</v>
      </c>
      <c r="V487" s="51">
        <v>2350</v>
      </c>
      <c r="W487" s="51">
        <v>2350</v>
      </c>
      <c r="X487" s="51">
        <v>2350</v>
      </c>
      <c r="Y487" s="19" t="s">
        <v>646</v>
      </c>
      <c r="Z487" s="19" t="s">
        <v>4307</v>
      </c>
      <c r="AA487" s="28" t="s">
        <v>7442</v>
      </c>
      <c r="AB487" s="56">
        <v>43439</v>
      </c>
      <c r="AC487" s="28" t="s">
        <v>7443</v>
      </c>
      <c r="AD487" s="28" t="s">
        <v>7444</v>
      </c>
      <c r="AE487" s="54" t="s">
        <v>7456</v>
      </c>
      <c r="AF487" s="54"/>
      <c r="AG487" s="54"/>
      <c r="AH487" s="53" t="s">
        <v>1591</v>
      </c>
      <c r="AI487" s="53" t="s">
        <v>2686</v>
      </c>
      <c r="AJ487" s="53" t="s">
        <v>1591</v>
      </c>
    </row>
    <row r="488" spans="1:36" s="3" customFormat="1" ht="24" x14ac:dyDescent="0.25">
      <c r="A488" s="17" t="s">
        <v>771</v>
      </c>
      <c r="B488" s="18" t="s">
        <v>37</v>
      </c>
      <c r="C488" s="19"/>
      <c r="D488" s="45" t="s">
        <v>3383</v>
      </c>
      <c r="E488" s="50"/>
      <c r="F488" s="58"/>
      <c r="G488" s="51"/>
      <c r="H488" s="51"/>
      <c r="I488" s="50" t="s">
        <v>3666</v>
      </c>
      <c r="J488" s="58" t="s">
        <v>3667</v>
      </c>
      <c r="K488" s="52"/>
      <c r="L488" s="59"/>
      <c r="M488" s="60"/>
      <c r="N488" s="51"/>
      <c r="O488" s="59"/>
      <c r="P488" s="59">
        <v>0</v>
      </c>
      <c r="Q488" s="51"/>
      <c r="R488" s="51">
        <f t="shared" si="22"/>
        <v>0</v>
      </c>
      <c r="S488" s="51"/>
      <c r="T488" s="52" t="s">
        <v>1148</v>
      </c>
      <c r="U488" s="51">
        <v>2350</v>
      </c>
      <c r="V488" s="51">
        <v>2350</v>
      </c>
      <c r="W488" s="51">
        <v>2350</v>
      </c>
      <c r="X488" s="51">
        <v>2350</v>
      </c>
      <c r="Y488" s="19" t="s">
        <v>646</v>
      </c>
      <c r="Z488" s="19" t="s">
        <v>4307</v>
      </c>
      <c r="AA488" s="28" t="s">
        <v>7442</v>
      </c>
      <c r="AB488" s="56">
        <v>43439</v>
      </c>
      <c r="AC488" s="28" t="s">
        <v>7443</v>
      </c>
      <c r="AD488" s="28" t="s">
        <v>7444</v>
      </c>
      <c r="AE488" s="54" t="s">
        <v>7456</v>
      </c>
      <c r="AF488" s="54"/>
      <c r="AG488" s="54"/>
      <c r="AH488" s="53" t="s">
        <v>1591</v>
      </c>
      <c r="AI488" s="53" t="s">
        <v>2686</v>
      </c>
      <c r="AJ488" s="53" t="s">
        <v>1591</v>
      </c>
    </row>
    <row r="489" spans="1:36" s="3" customFormat="1" ht="36" x14ac:dyDescent="0.25">
      <c r="A489" s="17" t="s">
        <v>771</v>
      </c>
      <c r="B489" s="18" t="s">
        <v>37</v>
      </c>
      <c r="C489" s="19"/>
      <c r="D489" s="45" t="s">
        <v>3385</v>
      </c>
      <c r="E489" s="50"/>
      <c r="F489" s="58"/>
      <c r="G489" s="51"/>
      <c r="H489" s="51"/>
      <c r="I489" s="50" t="s">
        <v>3670</v>
      </c>
      <c r="J489" s="58" t="s">
        <v>3671</v>
      </c>
      <c r="K489" s="52"/>
      <c r="L489" s="59"/>
      <c r="M489" s="60"/>
      <c r="N489" s="51"/>
      <c r="O489" s="59"/>
      <c r="P489" s="59">
        <v>0</v>
      </c>
      <c r="Q489" s="51"/>
      <c r="R489" s="51">
        <f t="shared" si="22"/>
        <v>0</v>
      </c>
      <c r="S489" s="51"/>
      <c r="T489" s="52" t="s">
        <v>81</v>
      </c>
      <c r="U489" s="51">
        <v>5520</v>
      </c>
      <c r="V489" s="51">
        <v>5520</v>
      </c>
      <c r="W489" s="51">
        <v>5520</v>
      </c>
      <c r="X489" s="51">
        <v>5520</v>
      </c>
      <c r="Y489" s="19" t="s">
        <v>646</v>
      </c>
      <c r="Z489" s="19" t="s">
        <v>4307</v>
      </c>
      <c r="AA489" s="28" t="s">
        <v>7442</v>
      </c>
      <c r="AB489" s="56">
        <v>43439</v>
      </c>
      <c r="AC489" s="28" t="s">
        <v>7443</v>
      </c>
      <c r="AD489" s="28" t="s">
        <v>7444</v>
      </c>
      <c r="AE489" s="54" t="s">
        <v>7456</v>
      </c>
      <c r="AF489" s="54"/>
      <c r="AG489" s="54"/>
      <c r="AH489" s="53" t="s">
        <v>1591</v>
      </c>
      <c r="AI489" s="53" t="s">
        <v>2686</v>
      </c>
      <c r="AJ489" s="53" t="s">
        <v>1591</v>
      </c>
    </row>
    <row r="490" spans="1:36" s="3" customFormat="1" ht="72" x14ac:dyDescent="0.25">
      <c r="A490" s="17" t="s">
        <v>771</v>
      </c>
      <c r="B490" s="18" t="s">
        <v>37</v>
      </c>
      <c r="C490" s="19"/>
      <c r="D490" s="45" t="s">
        <v>3390</v>
      </c>
      <c r="E490" s="50"/>
      <c r="F490" s="58"/>
      <c r="G490" s="51"/>
      <c r="H490" s="51"/>
      <c r="I490" s="50" t="s">
        <v>3675</v>
      </c>
      <c r="J490" s="58" t="s">
        <v>3676</v>
      </c>
      <c r="K490" s="52"/>
      <c r="L490" s="59"/>
      <c r="M490" s="60"/>
      <c r="N490" s="51"/>
      <c r="O490" s="59"/>
      <c r="P490" s="59">
        <v>0</v>
      </c>
      <c r="Q490" s="51"/>
      <c r="R490" s="51">
        <f t="shared" si="22"/>
        <v>0</v>
      </c>
      <c r="S490" s="51"/>
      <c r="T490" s="52" t="s">
        <v>1148</v>
      </c>
      <c r="U490" s="51">
        <v>3650</v>
      </c>
      <c r="V490" s="51">
        <v>3650</v>
      </c>
      <c r="W490" s="51">
        <v>3650</v>
      </c>
      <c r="X490" s="51">
        <v>3650</v>
      </c>
      <c r="Y490" s="19" t="s">
        <v>646</v>
      </c>
      <c r="Z490" s="19" t="s">
        <v>4307</v>
      </c>
      <c r="AA490" s="28" t="s">
        <v>7442</v>
      </c>
      <c r="AB490" s="56">
        <v>43439</v>
      </c>
      <c r="AC490" s="28" t="s">
        <v>7443</v>
      </c>
      <c r="AD490" s="28" t="s">
        <v>7444</v>
      </c>
      <c r="AE490" s="54" t="s">
        <v>7456</v>
      </c>
      <c r="AF490" s="54"/>
      <c r="AG490" s="54"/>
      <c r="AH490" s="53" t="s">
        <v>1591</v>
      </c>
      <c r="AI490" s="53" t="s">
        <v>2686</v>
      </c>
      <c r="AJ490" s="53" t="s">
        <v>1591</v>
      </c>
    </row>
    <row r="491" spans="1:36" s="3" customFormat="1" ht="36" x14ac:dyDescent="0.25">
      <c r="A491" s="35" t="s">
        <v>776</v>
      </c>
      <c r="B491" s="18" t="s">
        <v>37</v>
      </c>
      <c r="C491" s="19" t="s">
        <v>34</v>
      </c>
      <c r="D491" s="43" t="s">
        <v>777</v>
      </c>
      <c r="E491" s="50">
        <v>1010977</v>
      </c>
      <c r="F491" s="36" t="s">
        <v>778</v>
      </c>
      <c r="G491" s="51"/>
      <c r="H491" s="51"/>
      <c r="I491" s="36" t="s">
        <v>779</v>
      </c>
      <c r="J491" s="34" t="s">
        <v>780</v>
      </c>
      <c r="K491" s="37" t="s">
        <v>781</v>
      </c>
      <c r="L491" s="38">
        <v>42569</v>
      </c>
      <c r="M491" s="39">
        <f>L491+360</f>
        <v>42929</v>
      </c>
      <c r="N491" s="42">
        <v>1018456.29</v>
      </c>
      <c r="O491" s="74"/>
      <c r="P491" s="39">
        <f>M491+360</f>
        <v>43289</v>
      </c>
      <c r="Q491" s="41">
        <v>31048.55</v>
      </c>
      <c r="R491" s="51">
        <f t="shared" si="22"/>
        <v>1049504.8400000001</v>
      </c>
      <c r="S491" s="51"/>
      <c r="T491" s="52" t="s">
        <v>3920</v>
      </c>
      <c r="U491" s="51">
        <v>14815.21</v>
      </c>
      <c r="V491" s="51">
        <v>14815.21</v>
      </c>
      <c r="W491" s="42">
        <v>14815.21</v>
      </c>
      <c r="X491" s="42">
        <v>429496.23</v>
      </c>
      <c r="Y491" s="34" t="s">
        <v>175</v>
      </c>
      <c r="Z491" s="34"/>
      <c r="AA491" s="28" t="s">
        <v>7457</v>
      </c>
      <c r="AB491" s="56">
        <v>43430</v>
      </c>
      <c r="AC491" s="28" t="s">
        <v>7458</v>
      </c>
      <c r="AD491" s="28" t="s">
        <v>7459</v>
      </c>
      <c r="AE491" s="54" t="s">
        <v>7460</v>
      </c>
      <c r="AF491" s="54"/>
      <c r="AG491" s="54" t="s">
        <v>7461</v>
      </c>
      <c r="AH491" s="53" t="s">
        <v>1591</v>
      </c>
      <c r="AI491" s="53" t="s">
        <v>2686</v>
      </c>
      <c r="AJ491" s="53" t="s">
        <v>1591</v>
      </c>
    </row>
    <row r="492" spans="1:36" s="3" customFormat="1" ht="36" x14ac:dyDescent="0.25">
      <c r="A492" s="35" t="s">
        <v>786</v>
      </c>
      <c r="B492" s="18" t="s">
        <v>37</v>
      </c>
      <c r="C492" s="19" t="s">
        <v>816</v>
      </c>
      <c r="D492" s="43" t="s">
        <v>3397</v>
      </c>
      <c r="E492" s="50" t="s">
        <v>3681</v>
      </c>
      <c r="F492" s="36" t="s">
        <v>817</v>
      </c>
      <c r="G492" s="51">
        <v>2552810</v>
      </c>
      <c r="H492" s="51">
        <v>283645.59999999998</v>
      </c>
      <c r="I492" s="36" t="s">
        <v>818</v>
      </c>
      <c r="J492" s="34" t="s">
        <v>819</v>
      </c>
      <c r="K492" s="37" t="s">
        <v>820</v>
      </c>
      <c r="L492" s="38">
        <v>41792</v>
      </c>
      <c r="M492" s="39"/>
      <c r="N492" s="42">
        <v>2802117.57</v>
      </c>
      <c r="O492" s="74">
        <v>41882</v>
      </c>
      <c r="P492" s="39"/>
      <c r="Q492" s="41"/>
      <c r="R492" s="51">
        <f>N492+Q492</f>
        <v>2802117.57</v>
      </c>
      <c r="S492" s="51"/>
      <c r="T492" s="52" t="s">
        <v>32</v>
      </c>
      <c r="U492" s="51">
        <v>1133392.8700000001</v>
      </c>
      <c r="V492" s="51">
        <v>0</v>
      </c>
      <c r="W492" s="42">
        <v>0</v>
      </c>
      <c r="X492" s="42">
        <v>1133392.8700000001</v>
      </c>
      <c r="Y492" s="34" t="s">
        <v>1319</v>
      </c>
      <c r="Z492" s="34"/>
      <c r="AA492" s="28" t="s">
        <v>7462</v>
      </c>
      <c r="AB492" s="56">
        <v>43405</v>
      </c>
      <c r="AC492" s="28" t="s">
        <v>7463</v>
      </c>
      <c r="AD492" s="28" t="s">
        <v>7464</v>
      </c>
      <c r="AE492" s="54" t="s">
        <v>7465</v>
      </c>
      <c r="AF492" s="54"/>
      <c r="AG492" s="54" t="s">
        <v>7466</v>
      </c>
      <c r="AH492" s="53" t="s">
        <v>1591</v>
      </c>
      <c r="AI492" s="53" t="s">
        <v>2686</v>
      </c>
      <c r="AJ492" s="53" t="s">
        <v>1591</v>
      </c>
    </row>
    <row r="493" spans="1:36" s="3" customFormat="1" ht="48" x14ac:dyDescent="0.25">
      <c r="A493" s="17" t="s">
        <v>786</v>
      </c>
      <c r="B493" s="18" t="s">
        <v>37</v>
      </c>
      <c r="C493" s="19" t="s">
        <v>807</v>
      </c>
      <c r="D493" s="45" t="s">
        <v>3394</v>
      </c>
      <c r="E493" s="50" t="s">
        <v>808</v>
      </c>
      <c r="F493" s="58" t="s">
        <v>802</v>
      </c>
      <c r="G493" s="51">
        <v>2500000</v>
      </c>
      <c r="H493" s="51">
        <v>131578.95000000001</v>
      </c>
      <c r="I493" s="50" t="s">
        <v>809</v>
      </c>
      <c r="J493" s="58" t="s">
        <v>810</v>
      </c>
      <c r="K493" s="52" t="s">
        <v>811</v>
      </c>
      <c r="L493" s="59">
        <v>41171</v>
      </c>
      <c r="M493" s="60">
        <f>L493+180</f>
        <v>41351</v>
      </c>
      <c r="N493" s="51">
        <v>2610550.62</v>
      </c>
      <c r="O493" s="59">
        <v>42626</v>
      </c>
      <c r="P493" s="59">
        <f>M493+1620</f>
        <v>42971</v>
      </c>
      <c r="Q493" s="51"/>
      <c r="R493" s="51">
        <f>N493+Q493</f>
        <v>2610550.62</v>
      </c>
      <c r="S493" s="51"/>
      <c r="T493" s="52" t="s">
        <v>32</v>
      </c>
      <c r="U493" s="51">
        <v>1331057.92</v>
      </c>
      <c r="V493" s="51">
        <v>0</v>
      </c>
      <c r="W493" s="51">
        <v>0</v>
      </c>
      <c r="X493" s="51">
        <v>1331057.92</v>
      </c>
      <c r="Y493" s="19" t="s">
        <v>1319</v>
      </c>
      <c r="Z493" s="19"/>
      <c r="AA493" s="28" t="s">
        <v>7462</v>
      </c>
      <c r="AB493" s="56">
        <v>43405</v>
      </c>
      <c r="AC493" s="28" t="s">
        <v>7463</v>
      </c>
      <c r="AD493" s="28" t="s">
        <v>7464</v>
      </c>
      <c r="AE493" s="54" t="s">
        <v>7465</v>
      </c>
      <c r="AF493" s="54"/>
      <c r="AG493" s="54" t="s">
        <v>7467</v>
      </c>
      <c r="AH493" s="53" t="s">
        <v>1591</v>
      </c>
      <c r="AI493" s="53" t="s">
        <v>2686</v>
      </c>
      <c r="AJ493" s="53" t="s">
        <v>1591</v>
      </c>
    </row>
    <row r="494" spans="1:36" s="3" customFormat="1" ht="36" x14ac:dyDescent="0.25">
      <c r="A494" s="17" t="s">
        <v>786</v>
      </c>
      <c r="B494" s="18" t="s">
        <v>37</v>
      </c>
      <c r="C494" s="19" t="s">
        <v>792</v>
      </c>
      <c r="D494" s="45" t="s">
        <v>2799</v>
      </c>
      <c r="E494" s="50" t="s">
        <v>3678</v>
      </c>
      <c r="F494" s="58" t="s">
        <v>793</v>
      </c>
      <c r="G494" s="51">
        <v>1482100</v>
      </c>
      <c r="H494" s="51">
        <v>44187.99</v>
      </c>
      <c r="I494" s="50" t="s">
        <v>794</v>
      </c>
      <c r="J494" s="58" t="s">
        <v>2804</v>
      </c>
      <c r="K494" s="52" t="s">
        <v>795</v>
      </c>
      <c r="L494" s="59">
        <v>41071</v>
      </c>
      <c r="M494" s="60">
        <f>L494+180</f>
        <v>41251</v>
      </c>
      <c r="N494" s="51">
        <v>1526286.99</v>
      </c>
      <c r="O494" s="59">
        <v>41137</v>
      </c>
      <c r="P494" s="59">
        <v>0</v>
      </c>
      <c r="Q494" s="51"/>
      <c r="R494" s="51">
        <f>N494+Q494</f>
        <v>1526286.99</v>
      </c>
      <c r="S494" s="51"/>
      <c r="T494" s="52" t="s">
        <v>32</v>
      </c>
      <c r="U494" s="51">
        <v>112196.82</v>
      </c>
      <c r="V494" s="51">
        <v>0</v>
      </c>
      <c r="W494" s="51">
        <v>0</v>
      </c>
      <c r="X494" s="51">
        <v>112196.82</v>
      </c>
      <c r="Y494" s="19" t="s">
        <v>498</v>
      </c>
      <c r="Z494" s="19"/>
      <c r="AA494" s="28" t="s">
        <v>7462</v>
      </c>
      <c r="AB494" s="56">
        <v>43405</v>
      </c>
      <c r="AC494" s="28" t="s">
        <v>7463</v>
      </c>
      <c r="AD494" s="28" t="s">
        <v>7464</v>
      </c>
      <c r="AE494" s="54" t="s">
        <v>7468</v>
      </c>
      <c r="AF494" s="54"/>
      <c r="AG494" s="54" t="s">
        <v>7469</v>
      </c>
      <c r="AH494" s="53" t="s">
        <v>1591</v>
      </c>
      <c r="AI494" s="53" t="s">
        <v>2686</v>
      </c>
      <c r="AJ494" s="53" t="s">
        <v>1591</v>
      </c>
    </row>
    <row r="495" spans="1:36" s="3" customFormat="1" ht="84" x14ac:dyDescent="0.25">
      <c r="A495" s="17" t="s">
        <v>786</v>
      </c>
      <c r="B495" s="18" t="s">
        <v>37</v>
      </c>
      <c r="C495" s="19" t="s">
        <v>821</v>
      </c>
      <c r="D495" s="45" t="s">
        <v>3398</v>
      </c>
      <c r="E495" s="50" t="s">
        <v>822</v>
      </c>
      <c r="F495" s="58" t="s">
        <v>3682</v>
      </c>
      <c r="G495" s="51">
        <v>1349798.45</v>
      </c>
      <c r="H495" s="51"/>
      <c r="I495" s="50" t="s">
        <v>789</v>
      </c>
      <c r="J495" s="58" t="s">
        <v>2800</v>
      </c>
      <c r="K495" s="52" t="s">
        <v>113</v>
      </c>
      <c r="L495" s="59">
        <v>41865</v>
      </c>
      <c r="M495" s="60">
        <f>L495+180</f>
        <v>42045</v>
      </c>
      <c r="N495" s="51">
        <v>1346531.81</v>
      </c>
      <c r="O495" s="59"/>
      <c r="P495" s="59">
        <f>M495+1080</f>
        <v>43125</v>
      </c>
      <c r="Q495" s="51">
        <v>37623.43</v>
      </c>
      <c r="R495" s="51">
        <f>N495+Q495</f>
        <v>1384155.24</v>
      </c>
      <c r="S495" s="51"/>
      <c r="T495" s="52" t="s">
        <v>823</v>
      </c>
      <c r="U495" s="51">
        <v>835010.73</v>
      </c>
      <c r="V495" s="51">
        <v>0</v>
      </c>
      <c r="W495" s="51">
        <v>0</v>
      </c>
      <c r="X495" s="51">
        <v>835010.73</v>
      </c>
      <c r="Y495" s="19" t="s">
        <v>175</v>
      </c>
      <c r="Z495" s="19"/>
      <c r="AA495" s="28" t="s">
        <v>7462</v>
      </c>
      <c r="AB495" s="56">
        <v>43405</v>
      </c>
      <c r="AC495" s="28" t="s">
        <v>7463</v>
      </c>
      <c r="AD495" s="28" t="s">
        <v>7464</v>
      </c>
      <c r="AE495" s="54" t="s">
        <v>7470</v>
      </c>
      <c r="AF495" s="54"/>
      <c r="AG495" s="54" t="s">
        <v>7471</v>
      </c>
      <c r="AH495" s="53" t="s">
        <v>1591</v>
      </c>
      <c r="AI495" s="53" t="s">
        <v>2686</v>
      </c>
      <c r="AJ495" s="53" t="s">
        <v>1591</v>
      </c>
    </row>
    <row r="496" spans="1:36" s="3" customFormat="1" ht="36" x14ac:dyDescent="0.25">
      <c r="A496" s="17" t="s">
        <v>786</v>
      </c>
      <c r="B496" s="18" t="s">
        <v>37</v>
      </c>
      <c r="C496" s="19" t="s">
        <v>796</v>
      </c>
      <c r="D496" s="45" t="s">
        <v>2801</v>
      </c>
      <c r="E496" s="50" t="s">
        <v>797</v>
      </c>
      <c r="F496" s="58" t="s">
        <v>793</v>
      </c>
      <c r="G496" s="51">
        <v>1000000</v>
      </c>
      <c r="H496" s="51">
        <v>44210.71</v>
      </c>
      <c r="I496" s="50" t="s">
        <v>798</v>
      </c>
      <c r="J496" s="58" t="s">
        <v>2802</v>
      </c>
      <c r="K496" s="52" t="s">
        <v>799</v>
      </c>
      <c r="L496" s="59">
        <v>41072</v>
      </c>
      <c r="M496" s="60">
        <f>L496+180</f>
        <v>41252</v>
      </c>
      <c r="N496" s="51">
        <v>1044210.71</v>
      </c>
      <c r="O496" s="59">
        <v>41137</v>
      </c>
      <c r="P496" s="59">
        <v>0</v>
      </c>
      <c r="Q496" s="51"/>
      <c r="R496" s="51">
        <f>N496+Q496</f>
        <v>1044210.71</v>
      </c>
      <c r="S496" s="51"/>
      <c r="T496" s="52" t="s">
        <v>32</v>
      </c>
      <c r="U496" s="51">
        <v>96432.5</v>
      </c>
      <c r="V496" s="51">
        <v>0</v>
      </c>
      <c r="W496" s="51">
        <v>0</v>
      </c>
      <c r="X496" s="51">
        <v>96432.5</v>
      </c>
      <c r="Y496" s="19" t="s">
        <v>498</v>
      </c>
      <c r="Z496" s="19"/>
      <c r="AA496" s="28" t="s">
        <v>7462</v>
      </c>
      <c r="AB496" s="56">
        <v>43405</v>
      </c>
      <c r="AC496" s="28" t="s">
        <v>7463</v>
      </c>
      <c r="AD496" s="28" t="s">
        <v>7464</v>
      </c>
      <c r="AE496" s="54" t="s">
        <v>7468</v>
      </c>
      <c r="AF496" s="54"/>
      <c r="AG496" s="54" t="s">
        <v>7469</v>
      </c>
      <c r="AH496" s="53" t="s">
        <v>1591</v>
      </c>
      <c r="AI496" s="53" t="s">
        <v>2686</v>
      </c>
      <c r="AJ496" s="53" t="s">
        <v>1591</v>
      </c>
    </row>
    <row r="497" spans="1:36" s="3" customFormat="1" ht="48" x14ac:dyDescent="0.25">
      <c r="A497" s="35" t="s">
        <v>786</v>
      </c>
      <c r="B497" s="18" t="s">
        <v>37</v>
      </c>
      <c r="C497" s="76"/>
      <c r="D497" s="43" t="s">
        <v>4458</v>
      </c>
      <c r="E497" s="78"/>
      <c r="F497" s="36" t="s">
        <v>815</v>
      </c>
      <c r="G497" s="80"/>
      <c r="H497" s="80"/>
      <c r="I497" s="36" t="s">
        <v>4459</v>
      </c>
      <c r="J497" s="34" t="s">
        <v>4460</v>
      </c>
      <c r="K497" s="37" t="s">
        <v>4461</v>
      </c>
      <c r="L497" s="38">
        <v>40954</v>
      </c>
      <c r="M497" s="39">
        <v>41104</v>
      </c>
      <c r="N497" s="42">
        <v>463946.27</v>
      </c>
      <c r="O497" s="85"/>
      <c r="P497" s="86">
        <v>42154</v>
      </c>
      <c r="Q497" s="41">
        <v>58987.7</v>
      </c>
      <c r="R497" s="41">
        <v>522933.97000000003</v>
      </c>
      <c r="S497" s="80"/>
      <c r="T497" s="81"/>
      <c r="U497" s="80"/>
      <c r="V497" s="80"/>
      <c r="W497" s="42"/>
      <c r="X497" s="42">
        <v>455403.66</v>
      </c>
      <c r="Y497" s="34" t="s">
        <v>4321</v>
      </c>
      <c r="Z497" s="19" t="s">
        <v>7038</v>
      </c>
      <c r="AA497" s="28" t="s">
        <v>7462</v>
      </c>
      <c r="AB497" s="56">
        <v>43405</v>
      </c>
      <c r="AC497" s="28" t="s">
        <v>7463</v>
      </c>
      <c r="AD497" s="28" t="s">
        <v>7464</v>
      </c>
      <c r="AE497" s="54" t="s">
        <v>7472</v>
      </c>
      <c r="AF497" s="54"/>
      <c r="AG497" s="54" t="s">
        <v>7473</v>
      </c>
      <c r="AH497" s="53" t="s">
        <v>1591</v>
      </c>
      <c r="AI497" s="53" t="s">
        <v>2686</v>
      </c>
      <c r="AJ497" s="53" t="s">
        <v>1591</v>
      </c>
    </row>
    <row r="498" spans="1:36" s="3" customFormat="1" ht="84" x14ac:dyDescent="0.25">
      <c r="A498" s="35" t="s">
        <v>786</v>
      </c>
      <c r="B498" s="18" t="s">
        <v>37</v>
      </c>
      <c r="C498" s="19" t="s">
        <v>77</v>
      </c>
      <c r="D498" s="43" t="s">
        <v>832</v>
      </c>
      <c r="E498" s="50" t="s">
        <v>830</v>
      </c>
      <c r="F498" s="36" t="s">
        <v>815</v>
      </c>
      <c r="G498" s="51">
        <v>508832.99</v>
      </c>
      <c r="H498" s="51"/>
      <c r="I498" s="36" t="s">
        <v>129</v>
      </c>
      <c r="J498" s="34" t="s">
        <v>831</v>
      </c>
      <c r="K498" s="37" t="s">
        <v>833</v>
      </c>
      <c r="L498" s="38">
        <v>42121</v>
      </c>
      <c r="M498" s="39">
        <f>L498+180</f>
        <v>42301</v>
      </c>
      <c r="N498" s="42">
        <v>503099.43</v>
      </c>
      <c r="O498" s="74"/>
      <c r="P498" s="39">
        <f>M498+900</f>
        <v>43201</v>
      </c>
      <c r="Q498" s="41"/>
      <c r="R498" s="51">
        <f>N498+Q498</f>
        <v>503099.43</v>
      </c>
      <c r="S498" s="51"/>
      <c r="T498" s="52" t="s">
        <v>32</v>
      </c>
      <c r="U498" s="51">
        <v>40257.699999999997</v>
      </c>
      <c r="V498" s="51">
        <v>0</v>
      </c>
      <c r="W498" s="42">
        <v>0</v>
      </c>
      <c r="X498" s="42">
        <v>40257.699999999997</v>
      </c>
      <c r="Y498" s="34" t="s">
        <v>175</v>
      </c>
      <c r="Z498" s="34"/>
      <c r="AA498" s="28" t="s">
        <v>7462</v>
      </c>
      <c r="AB498" s="56">
        <v>43405</v>
      </c>
      <c r="AC498" s="28" t="s">
        <v>7463</v>
      </c>
      <c r="AD498" s="28" t="s">
        <v>7464</v>
      </c>
      <c r="AE498" s="54" t="s">
        <v>7470</v>
      </c>
      <c r="AF498" s="54"/>
      <c r="AG498" s="54" t="s">
        <v>7474</v>
      </c>
      <c r="AH498" s="53" t="s">
        <v>1591</v>
      </c>
      <c r="AI498" s="53" t="s">
        <v>2686</v>
      </c>
      <c r="AJ498" s="53" t="s">
        <v>1591</v>
      </c>
    </row>
    <row r="499" spans="1:36" s="3" customFormat="1" ht="84" x14ac:dyDescent="0.25">
      <c r="A499" s="17" t="s">
        <v>786</v>
      </c>
      <c r="B499" s="18" t="s">
        <v>37</v>
      </c>
      <c r="C499" s="19" t="s">
        <v>85</v>
      </c>
      <c r="D499" s="45" t="s">
        <v>829</v>
      </c>
      <c r="E499" s="50" t="s">
        <v>830</v>
      </c>
      <c r="F499" s="58" t="s">
        <v>815</v>
      </c>
      <c r="G499" s="51">
        <v>476286.3</v>
      </c>
      <c r="H499" s="51"/>
      <c r="I499" s="50" t="s">
        <v>129</v>
      </c>
      <c r="J499" s="58" t="s">
        <v>831</v>
      </c>
      <c r="K499" s="52" t="s">
        <v>323</v>
      </c>
      <c r="L499" s="59">
        <v>42121</v>
      </c>
      <c r="M499" s="60">
        <f>L499+180</f>
        <v>42301</v>
      </c>
      <c r="N499" s="51">
        <v>503099.43</v>
      </c>
      <c r="O499" s="59"/>
      <c r="P499" s="59">
        <f>M499+900</f>
        <v>43201</v>
      </c>
      <c r="Q499" s="51"/>
      <c r="R499" s="51">
        <f>N499+Q499</f>
        <v>503099.43</v>
      </c>
      <c r="S499" s="51"/>
      <c r="T499" s="52" t="s">
        <v>32</v>
      </c>
      <c r="U499" s="51">
        <v>91224.19</v>
      </c>
      <c r="V499" s="51">
        <v>0</v>
      </c>
      <c r="W499" s="51">
        <v>61994.55</v>
      </c>
      <c r="X499" s="51">
        <v>91224.19</v>
      </c>
      <c r="Y499" s="19" t="s">
        <v>175</v>
      </c>
      <c r="Z499" s="19"/>
      <c r="AA499" s="28" t="s">
        <v>7462</v>
      </c>
      <c r="AB499" s="56">
        <v>43405</v>
      </c>
      <c r="AC499" s="28" t="s">
        <v>7463</v>
      </c>
      <c r="AD499" s="28" t="s">
        <v>7464</v>
      </c>
      <c r="AE499" s="54" t="s">
        <v>7470</v>
      </c>
      <c r="AF499" s="54"/>
      <c r="AG499" s="54" t="s">
        <v>7474</v>
      </c>
      <c r="AH499" s="53" t="s">
        <v>1591</v>
      </c>
      <c r="AI499" s="53" t="s">
        <v>2686</v>
      </c>
      <c r="AJ499" s="53" t="s">
        <v>1591</v>
      </c>
    </row>
    <row r="500" spans="1:36" s="3" customFormat="1" ht="60" x14ac:dyDescent="0.25">
      <c r="A500" s="17" t="s">
        <v>786</v>
      </c>
      <c r="B500" s="18" t="s">
        <v>37</v>
      </c>
      <c r="C500" s="19" t="s">
        <v>800</v>
      </c>
      <c r="D500" s="45" t="s">
        <v>3393</v>
      </c>
      <c r="E500" s="50" t="s">
        <v>801</v>
      </c>
      <c r="F500" s="58" t="s">
        <v>802</v>
      </c>
      <c r="G500" s="51">
        <v>500000</v>
      </c>
      <c r="H500" s="51"/>
      <c r="I500" s="50" t="s">
        <v>789</v>
      </c>
      <c r="J500" s="58" t="s">
        <v>2804</v>
      </c>
      <c r="K500" s="52" t="s">
        <v>803</v>
      </c>
      <c r="L500" s="59">
        <v>40968</v>
      </c>
      <c r="M500" s="60">
        <f>L500+180</f>
        <v>41148</v>
      </c>
      <c r="N500" s="51">
        <v>495845.9</v>
      </c>
      <c r="O500" s="59">
        <v>41157</v>
      </c>
      <c r="P500" s="59">
        <v>0</v>
      </c>
      <c r="Q500" s="51"/>
      <c r="R500" s="51">
        <f>N500+Q500</f>
        <v>495845.9</v>
      </c>
      <c r="S500" s="51"/>
      <c r="T500" s="52" t="s">
        <v>132</v>
      </c>
      <c r="U500" s="51">
        <v>250342.59</v>
      </c>
      <c r="V500" s="51">
        <v>0</v>
      </c>
      <c r="W500" s="51">
        <v>0</v>
      </c>
      <c r="X500" s="51">
        <v>250342.59</v>
      </c>
      <c r="Y500" s="19" t="s">
        <v>498</v>
      </c>
      <c r="Z500" s="19"/>
      <c r="AA500" s="28" t="s">
        <v>7462</v>
      </c>
      <c r="AB500" s="56">
        <v>43405</v>
      </c>
      <c r="AC500" s="28" t="s">
        <v>7463</v>
      </c>
      <c r="AD500" s="28" t="s">
        <v>7464</v>
      </c>
      <c r="AE500" s="54" t="s">
        <v>7468</v>
      </c>
      <c r="AF500" s="54"/>
      <c r="AG500" s="54" t="s">
        <v>7475</v>
      </c>
      <c r="AH500" s="53" t="s">
        <v>1591</v>
      </c>
      <c r="AI500" s="53" t="s">
        <v>2686</v>
      </c>
      <c r="AJ500" s="53" t="s">
        <v>1591</v>
      </c>
    </row>
    <row r="501" spans="1:36" s="3" customFormat="1" ht="48" x14ac:dyDescent="0.25">
      <c r="A501" s="35" t="s">
        <v>786</v>
      </c>
      <c r="B501" s="18" t="s">
        <v>37</v>
      </c>
      <c r="C501" s="76"/>
      <c r="D501" s="43" t="s">
        <v>4463</v>
      </c>
      <c r="E501" s="78"/>
      <c r="F501" s="36" t="s">
        <v>4464</v>
      </c>
      <c r="G501" s="80"/>
      <c r="H501" s="80"/>
      <c r="I501" s="36" t="s">
        <v>4465</v>
      </c>
      <c r="J501" s="34" t="s">
        <v>4466</v>
      </c>
      <c r="K501" s="37" t="s">
        <v>4467</v>
      </c>
      <c r="L501" s="38">
        <v>41908</v>
      </c>
      <c r="M501" s="39">
        <v>42088</v>
      </c>
      <c r="N501" s="42">
        <v>405770.92</v>
      </c>
      <c r="O501" s="85"/>
      <c r="P501" s="86">
        <v>42088</v>
      </c>
      <c r="Q501" s="41">
        <v>43021.120000000003</v>
      </c>
      <c r="R501" s="41">
        <v>448792.04</v>
      </c>
      <c r="S501" s="80"/>
      <c r="T501" s="81"/>
      <c r="U501" s="80"/>
      <c r="V501" s="80"/>
      <c r="W501" s="42"/>
      <c r="X501" s="42">
        <v>173833.56</v>
      </c>
      <c r="Y501" s="34" t="s">
        <v>4321</v>
      </c>
      <c r="Z501" s="19" t="s">
        <v>7038</v>
      </c>
      <c r="AA501" s="28" t="s">
        <v>7462</v>
      </c>
      <c r="AB501" s="56">
        <v>43405</v>
      </c>
      <c r="AC501" s="28" t="s">
        <v>7463</v>
      </c>
      <c r="AD501" s="28" t="s">
        <v>7464</v>
      </c>
      <c r="AE501" s="54" t="s">
        <v>7472</v>
      </c>
      <c r="AF501" s="54"/>
      <c r="AG501" s="54" t="s">
        <v>7476</v>
      </c>
      <c r="AH501" s="53" t="s">
        <v>1591</v>
      </c>
      <c r="AI501" s="53" t="s">
        <v>2686</v>
      </c>
      <c r="AJ501" s="53" t="s">
        <v>1591</v>
      </c>
    </row>
    <row r="502" spans="1:36" s="3" customFormat="1" ht="36" x14ac:dyDescent="0.25">
      <c r="A502" s="17" t="s">
        <v>786</v>
      </c>
      <c r="B502" s="18" t="s">
        <v>37</v>
      </c>
      <c r="C502" s="19" t="s">
        <v>787</v>
      </c>
      <c r="D502" s="45" t="s">
        <v>2803</v>
      </c>
      <c r="E502" s="50" t="s">
        <v>3677</v>
      </c>
      <c r="F502" s="58" t="s">
        <v>788</v>
      </c>
      <c r="G502" s="51">
        <v>199875</v>
      </c>
      <c r="H502" s="51">
        <v>48030.7</v>
      </c>
      <c r="I502" s="50" t="s">
        <v>789</v>
      </c>
      <c r="J502" s="58" t="s">
        <v>2804</v>
      </c>
      <c r="K502" s="52" t="s">
        <v>791</v>
      </c>
      <c r="L502" s="59">
        <v>40945</v>
      </c>
      <c r="M502" s="60">
        <f>L502+180</f>
        <v>41125</v>
      </c>
      <c r="N502" s="51">
        <v>244506.96</v>
      </c>
      <c r="O502" s="59">
        <v>41246</v>
      </c>
      <c r="P502" s="59">
        <v>0</v>
      </c>
      <c r="Q502" s="51"/>
      <c r="R502" s="51">
        <f t="shared" ref="R502:R510" si="23">N502+Q502</f>
        <v>244506.96</v>
      </c>
      <c r="S502" s="51"/>
      <c r="T502" s="52" t="s">
        <v>32</v>
      </c>
      <c r="U502" s="51">
        <v>211646.83</v>
      </c>
      <c r="V502" s="51">
        <v>0</v>
      </c>
      <c r="W502" s="51">
        <v>0</v>
      </c>
      <c r="X502" s="51">
        <v>211646.83</v>
      </c>
      <c r="Y502" s="19" t="s">
        <v>498</v>
      </c>
      <c r="Z502" s="19"/>
      <c r="AA502" s="28" t="s">
        <v>7462</v>
      </c>
      <c r="AB502" s="56">
        <v>43405</v>
      </c>
      <c r="AC502" s="28" t="s">
        <v>7463</v>
      </c>
      <c r="AD502" s="28" t="s">
        <v>7464</v>
      </c>
      <c r="AE502" s="54" t="s">
        <v>7468</v>
      </c>
      <c r="AF502" s="54"/>
      <c r="AG502" s="54" t="s">
        <v>7477</v>
      </c>
      <c r="AH502" s="53" t="s">
        <v>1591</v>
      </c>
      <c r="AI502" s="53" t="s">
        <v>2686</v>
      </c>
      <c r="AJ502" s="53" t="s">
        <v>1591</v>
      </c>
    </row>
    <row r="503" spans="1:36" s="3" customFormat="1" ht="36" x14ac:dyDescent="0.25">
      <c r="A503" s="17" t="s">
        <v>786</v>
      </c>
      <c r="B503" s="18" t="s">
        <v>37</v>
      </c>
      <c r="C503" s="19" t="s">
        <v>812</v>
      </c>
      <c r="D503" s="45" t="s">
        <v>3395</v>
      </c>
      <c r="E503" s="50" t="s">
        <v>839</v>
      </c>
      <c r="F503" s="58" t="s">
        <v>813</v>
      </c>
      <c r="G503" s="51">
        <v>200000</v>
      </c>
      <c r="H503" s="51"/>
      <c r="I503" s="50" t="s">
        <v>789</v>
      </c>
      <c r="J503" s="58" t="s">
        <v>790</v>
      </c>
      <c r="K503" s="52" t="s">
        <v>814</v>
      </c>
      <c r="L503" s="59">
        <v>41400</v>
      </c>
      <c r="M503" s="60">
        <f>L503+150</f>
        <v>41550</v>
      </c>
      <c r="N503" s="51">
        <v>243908.79</v>
      </c>
      <c r="O503" s="59">
        <v>42279</v>
      </c>
      <c r="P503" s="59">
        <f>M503+1500</f>
        <v>43050</v>
      </c>
      <c r="Q503" s="51"/>
      <c r="R503" s="51">
        <f t="shared" si="23"/>
        <v>243908.79</v>
      </c>
      <c r="S503" s="51"/>
      <c r="T503" s="52" t="s">
        <v>32</v>
      </c>
      <c r="U503" s="51">
        <v>179576.3</v>
      </c>
      <c r="V503" s="51">
        <v>0</v>
      </c>
      <c r="W503" s="51">
        <v>0</v>
      </c>
      <c r="X503" s="51">
        <v>179576.3</v>
      </c>
      <c r="Y503" s="19" t="s">
        <v>1319</v>
      </c>
      <c r="Z503" s="19"/>
      <c r="AA503" s="28" t="s">
        <v>7462</v>
      </c>
      <c r="AB503" s="56">
        <v>43405</v>
      </c>
      <c r="AC503" s="28" t="s">
        <v>7463</v>
      </c>
      <c r="AD503" s="28" t="s">
        <v>7464</v>
      </c>
      <c r="AE503" s="54" t="s">
        <v>7468</v>
      </c>
      <c r="AF503" s="54"/>
      <c r="AG503" s="54" t="s">
        <v>7477</v>
      </c>
      <c r="AH503" s="53" t="s">
        <v>1591</v>
      </c>
      <c r="AI503" s="53" t="s">
        <v>2686</v>
      </c>
      <c r="AJ503" s="53" t="s">
        <v>1591</v>
      </c>
    </row>
    <row r="504" spans="1:36" s="3" customFormat="1" ht="36" x14ac:dyDescent="0.25">
      <c r="A504" s="35" t="s">
        <v>786</v>
      </c>
      <c r="B504" s="18" t="s">
        <v>37</v>
      </c>
      <c r="C504" s="19" t="s">
        <v>804</v>
      </c>
      <c r="D504" s="43" t="s">
        <v>2805</v>
      </c>
      <c r="E504" s="50" t="s">
        <v>805</v>
      </c>
      <c r="F504" s="36" t="s">
        <v>802</v>
      </c>
      <c r="G504" s="51">
        <v>399389.5</v>
      </c>
      <c r="H504" s="51"/>
      <c r="I504" s="36" t="s">
        <v>789</v>
      </c>
      <c r="J504" s="34" t="s">
        <v>2804</v>
      </c>
      <c r="K504" s="37" t="s">
        <v>806</v>
      </c>
      <c r="L504" s="38">
        <v>41085</v>
      </c>
      <c r="M504" s="39">
        <f>L504+90</f>
        <v>41175</v>
      </c>
      <c r="N504" s="42">
        <v>206659</v>
      </c>
      <c r="O504" s="74">
        <v>41264</v>
      </c>
      <c r="P504" s="39">
        <v>0</v>
      </c>
      <c r="Q504" s="41"/>
      <c r="R504" s="51">
        <f t="shared" si="23"/>
        <v>206659</v>
      </c>
      <c r="S504" s="51"/>
      <c r="T504" s="52" t="s">
        <v>32</v>
      </c>
      <c r="U504" s="51">
        <v>214906.91</v>
      </c>
      <c r="V504" s="51">
        <v>0</v>
      </c>
      <c r="W504" s="42">
        <v>0</v>
      </c>
      <c r="X504" s="42">
        <v>214906.91</v>
      </c>
      <c r="Y504" s="34" t="s">
        <v>498</v>
      </c>
      <c r="Z504" s="34"/>
      <c r="AA504" s="28" t="s">
        <v>7462</v>
      </c>
      <c r="AB504" s="56">
        <v>43405</v>
      </c>
      <c r="AC504" s="28" t="s">
        <v>7463</v>
      </c>
      <c r="AD504" s="28" t="s">
        <v>7464</v>
      </c>
      <c r="AE504" s="54" t="s">
        <v>7468</v>
      </c>
      <c r="AF504" s="54"/>
      <c r="AG504" s="54" t="s">
        <v>7477</v>
      </c>
      <c r="AH504" s="53" t="s">
        <v>1591</v>
      </c>
      <c r="AI504" s="53" t="s">
        <v>2686</v>
      </c>
      <c r="AJ504" s="53" t="s">
        <v>1591</v>
      </c>
    </row>
    <row r="505" spans="1:36" s="3" customFormat="1" ht="84" x14ac:dyDescent="0.25">
      <c r="A505" s="17" t="s">
        <v>786</v>
      </c>
      <c r="B505" s="18" t="s">
        <v>37</v>
      </c>
      <c r="C505" s="19" t="s">
        <v>824</v>
      </c>
      <c r="D505" s="45" t="s">
        <v>3396</v>
      </c>
      <c r="E505" s="50" t="s">
        <v>825</v>
      </c>
      <c r="F505" s="58" t="s">
        <v>815</v>
      </c>
      <c r="G505" s="51">
        <v>464748.35</v>
      </c>
      <c r="H505" s="51"/>
      <c r="I505" s="50" t="s">
        <v>3679</v>
      </c>
      <c r="J505" s="58" t="s">
        <v>3680</v>
      </c>
      <c r="K505" s="52" t="s">
        <v>827</v>
      </c>
      <c r="L505" s="59">
        <v>41556</v>
      </c>
      <c r="M505" s="60">
        <f>L505+545</f>
        <v>42101</v>
      </c>
      <c r="N505" s="51">
        <v>179705.71</v>
      </c>
      <c r="O505" s="59"/>
      <c r="P505" s="59">
        <f>M505+1080</f>
        <v>43181</v>
      </c>
      <c r="Q505" s="51"/>
      <c r="R505" s="51">
        <f t="shared" si="23"/>
        <v>179705.71</v>
      </c>
      <c r="S505" s="51"/>
      <c r="T505" s="52" t="s">
        <v>32</v>
      </c>
      <c r="U505" s="51">
        <v>133433.41</v>
      </c>
      <c r="V505" s="51">
        <v>0</v>
      </c>
      <c r="W505" s="51">
        <v>0</v>
      </c>
      <c r="X505" s="51">
        <v>133433.41</v>
      </c>
      <c r="Y505" s="19" t="s">
        <v>175</v>
      </c>
      <c r="Z505" s="19"/>
      <c r="AA505" s="28" t="s">
        <v>7462</v>
      </c>
      <c r="AB505" s="56">
        <v>43405</v>
      </c>
      <c r="AC505" s="28" t="s">
        <v>7463</v>
      </c>
      <c r="AD505" s="28" t="s">
        <v>7464</v>
      </c>
      <c r="AE505" s="54" t="s">
        <v>7470</v>
      </c>
      <c r="AF505" s="54"/>
      <c r="AG505" s="54" t="s">
        <v>7474</v>
      </c>
      <c r="AH505" s="53" t="s">
        <v>1591</v>
      </c>
      <c r="AI505" s="53" t="s">
        <v>2686</v>
      </c>
      <c r="AJ505" s="53" t="s">
        <v>1591</v>
      </c>
    </row>
    <row r="506" spans="1:36" s="3" customFormat="1" ht="84" x14ac:dyDescent="0.25">
      <c r="A506" s="17" t="s">
        <v>786</v>
      </c>
      <c r="B506" s="18" t="s">
        <v>37</v>
      </c>
      <c r="C506" s="19" t="s">
        <v>834</v>
      </c>
      <c r="D506" s="45" t="s">
        <v>3392</v>
      </c>
      <c r="E506" s="50"/>
      <c r="F506" s="58" t="s">
        <v>813</v>
      </c>
      <c r="G506" s="51"/>
      <c r="H506" s="51"/>
      <c r="I506" s="50" t="s">
        <v>129</v>
      </c>
      <c r="J506" s="58" t="s">
        <v>831</v>
      </c>
      <c r="K506" s="52" t="s">
        <v>835</v>
      </c>
      <c r="L506" s="59">
        <v>42128</v>
      </c>
      <c r="M506" s="60">
        <f>L506+120</f>
        <v>42248</v>
      </c>
      <c r="N506" s="51">
        <v>81871.31</v>
      </c>
      <c r="O506" s="59">
        <v>42174</v>
      </c>
      <c r="P506" s="59">
        <f>M506+360</f>
        <v>42608</v>
      </c>
      <c r="Q506" s="51"/>
      <c r="R506" s="51">
        <f t="shared" si="23"/>
        <v>81871.31</v>
      </c>
      <c r="S506" s="51"/>
      <c r="T506" s="52" t="s">
        <v>836</v>
      </c>
      <c r="U506" s="51">
        <v>0</v>
      </c>
      <c r="V506" s="51">
        <v>0</v>
      </c>
      <c r="W506" s="51">
        <v>0</v>
      </c>
      <c r="X506" s="51">
        <v>16751.830000000002</v>
      </c>
      <c r="Y506" s="19" t="s">
        <v>175</v>
      </c>
      <c r="Z506" s="19"/>
      <c r="AA506" s="28" t="s">
        <v>7462</v>
      </c>
      <c r="AB506" s="56">
        <v>43405</v>
      </c>
      <c r="AC506" s="28" t="s">
        <v>7463</v>
      </c>
      <c r="AD506" s="28" t="s">
        <v>7464</v>
      </c>
      <c r="AE506" s="54" t="s">
        <v>7470</v>
      </c>
      <c r="AF506" s="54"/>
      <c r="AG506" s="54" t="s">
        <v>7474</v>
      </c>
      <c r="AH506" s="53" t="s">
        <v>1591</v>
      </c>
      <c r="AI506" s="53" t="s">
        <v>2686</v>
      </c>
      <c r="AJ506" s="53" t="s">
        <v>1591</v>
      </c>
    </row>
    <row r="507" spans="1:36" s="3" customFormat="1" ht="84" x14ac:dyDescent="0.25">
      <c r="A507" s="35" t="s">
        <v>786</v>
      </c>
      <c r="B507" s="18" t="s">
        <v>37</v>
      </c>
      <c r="C507" s="19" t="s">
        <v>3399</v>
      </c>
      <c r="D507" s="43" t="s">
        <v>3392</v>
      </c>
      <c r="E507" s="50"/>
      <c r="F507" s="36" t="s">
        <v>813</v>
      </c>
      <c r="G507" s="51"/>
      <c r="H507" s="51"/>
      <c r="I507" s="36" t="s">
        <v>129</v>
      </c>
      <c r="J507" s="34" t="s">
        <v>831</v>
      </c>
      <c r="K507" s="37" t="s">
        <v>835</v>
      </c>
      <c r="L507" s="38">
        <v>42128</v>
      </c>
      <c r="M507" s="39">
        <f>L507+120</f>
        <v>42248</v>
      </c>
      <c r="N507" s="42">
        <v>81871.31</v>
      </c>
      <c r="O507" s="74">
        <v>42845</v>
      </c>
      <c r="P507" s="39">
        <f>M507+720</f>
        <v>42968</v>
      </c>
      <c r="Q507" s="41"/>
      <c r="R507" s="51">
        <f t="shared" si="23"/>
        <v>81871.31</v>
      </c>
      <c r="S507" s="51"/>
      <c r="T507" s="52" t="s">
        <v>836</v>
      </c>
      <c r="U507" s="51">
        <v>16751.830000000002</v>
      </c>
      <c r="V507" s="51">
        <v>0</v>
      </c>
      <c r="W507" s="42">
        <v>0</v>
      </c>
      <c r="X507" s="42">
        <v>16751.830000000002</v>
      </c>
      <c r="Y507" s="34" t="s">
        <v>1319</v>
      </c>
      <c r="Z507" s="34"/>
      <c r="AA507" s="28" t="s">
        <v>7462</v>
      </c>
      <c r="AB507" s="56">
        <v>43405</v>
      </c>
      <c r="AC507" s="28" t="s">
        <v>7463</v>
      </c>
      <c r="AD507" s="28" t="s">
        <v>7464</v>
      </c>
      <c r="AE507" s="54" t="s">
        <v>7470</v>
      </c>
      <c r="AF507" s="54"/>
      <c r="AG507" s="54" t="s">
        <v>7474</v>
      </c>
      <c r="AH507" s="53" t="s">
        <v>1591</v>
      </c>
      <c r="AI507" s="53" t="s">
        <v>2686</v>
      </c>
      <c r="AJ507" s="53" t="s">
        <v>1591</v>
      </c>
    </row>
    <row r="508" spans="1:36" s="3" customFormat="1" ht="36" x14ac:dyDescent="0.25">
      <c r="A508" s="17" t="s">
        <v>837</v>
      </c>
      <c r="B508" s="18" t="s">
        <v>37</v>
      </c>
      <c r="C508" s="19" t="s">
        <v>2945</v>
      </c>
      <c r="D508" s="45" t="s">
        <v>3400</v>
      </c>
      <c r="E508" s="50" t="s">
        <v>3683</v>
      </c>
      <c r="F508" s="58" t="s">
        <v>70</v>
      </c>
      <c r="G508" s="51"/>
      <c r="H508" s="51"/>
      <c r="I508" s="50" t="s">
        <v>3684</v>
      </c>
      <c r="J508" s="58" t="s">
        <v>3685</v>
      </c>
      <c r="K508" s="52"/>
      <c r="L508" s="59">
        <v>42135</v>
      </c>
      <c r="M508" s="60">
        <f>L508+90</f>
        <v>42225</v>
      </c>
      <c r="N508" s="51">
        <v>730711.33</v>
      </c>
      <c r="O508" s="59">
        <v>42196</v>
      </c>
      <c r="P508" s="59">
        <f>M508+990</f>
        <v>43215</v>
      </c>
      <c r="Q508" s="51"/>
      <c r="R508" s="51">
        <f t="shared" si="23"/>
        <v>730711.33</v>
      </c>
      <c r="S508" s="51"/>
      <c r="T508" s="52" t="s">
        <v>81</v>
      </c>
      <c r="U508" s="51">
        <v>88093.16</v>
      </c>
      <c r="V508" s="51">
        <v>88093.16</v>
      </c>
      <c r="W508" s="51">
        <v>88093.16</v>
      </c>
      <c r="X508" s="51">
        <v>371501.81</v>
      </c>
      <c r="Y508" s="19" t="s">
        <v>175</v>
      </c>
      <c r="Z508" s="19"/>
      <c r="AA508" s="28"/>
      <c r="AB508" s="56"/>
      <c r="AC508" s="28"/>
      <c r="AD508" s="28"/>
      <c r="AE508" s="54"/>
      <c r="AF508" s="54"/>
      <c r="AG508" s="54"/>
      <c r="AH508" s="53"/>
      <c r="AI508" s="53" t="s">
        <v>1591</v>
      </c>
      <c r="AJ508" s="53" t="s">
        <v>1591</v>
      </c>
    </row>
    <row r="509" spans="1:36" s="3" customFormat="1" ht="24" x14ac:dyDescent="0.25">
      <c r="A509" s="17" t="s">
        <v>837</v>
      </c>
      <c r="B509" s="18" t="s">
        <v>37</v>
      </c>
      <c r="C509" s="19" t="s">
        <v>673</v>
      </c>
      <c r="D509" s="45" t="s">
        <v>3402</v>
      </c>
      <c r="E509" s="50"/>
      <c r="F509" s="58"/>
      <c r="G509" s="51"/>
      <c r="H509" s="51"/>
      <c r="I509" s="50" t="s">
        <v>2041</v>
      </c>
      <c r="J509" s="58" t="s">
        <v>2041</v>
      </c>
      <c r="K509" s="52"/>
      <c r="L509" s="59"/>
      <c r="M509" s="60"/>
      <c r="N509" s="51"/>
      <c r="O509" s="59"/>
      <c r="P509" s="59">
        <v>0</v>
      </c>
      <c r="Q509" s="51"/>
      <c r="R509" s="51">
        <f t="shared" si="23"/>
        <v>0</v>
      </c>
      <c r="S509" s="51"/>
      <c r="T509" s="52" t="s">
        <v>1148</v>
      </c>
      <c r="U509" s="51">
        <v>15705.2</v>
      </c>
      <c r="V509" s="51">
        <v>15705.2</v>
      </c>
      <c r="W509" s="51">
        <v>15705.2</v>
      </c>
      <c r="X509" s="51">
        <v>15705.2</v>
      </c>
      <c r="Y509" s="19"/>
      <c r="Z509" s="19" t="s">
        <v>4307</v>
      </c>
      <c r="AA509" s="28"/>
      <c r="AB509" s="56"/>
      <c r="AC509" s="28"/>
      <c r="AD509" s="28"/>
      <c r="AE509" s="54"/>
      <c r="AF509" s="54"/>
      <c r="AG509" s="54"/>
      <c r="AH509" s="53"/>
      <c r="AI509" s="53" t="s">
        <v>1591</v>
      </c>
      <c r="AJ509" s="53" t="s">
        <v>1591</v>
      </c>
    </row>
    <row r="510" spans="1:36" s="3" customFormat="1" ht="24" x14ac:dyDescent="0.25">
      <c r="A510" s="17" t="s">
        <v>837</v>
      </c>
      <c r="B510" s="18" t="s">
        <v>37</v>
      </c>
      <c r="C510" s="19" t="s">
        <v>673</v>
      </c>
      <c r="D510" s="45" t="s">
        <v>3401</v>
      </c>
      <c r="E510" s="50"/>
      <c r="F510" s="58"/>
      <c r="G510" s="51"/>
      <c r="H510" s="51"/>
      <c r="I510" s="50" t="s">
        <v>3686</v>
      </c>
      <c r="J510" s="58" t="s">
        <v>3687</v>
      </c>
      <c r="K510" s="52"/>
      <c r="L510" s="59"/>
      <c r="M510" s="60"/>
      <c r="N510" s="51"/>
      <c r="O510" s="59"/>
      <c r="P510" s="59">
        <v>0</v>
      </c>
      <c r="Q510" s="51"/>
      <c r="R510" s="51">
        <f t="shared" si="23"/>
        <v>0</v>
      </c>
      <c r="S510" s="51"/>
      <c r="T510" s="52" t="s">
        <v>1148</v>
      </c>
      <c r="U510" s="51">
        <v>700</v>
      </c>
      <c r="V510" s="51">
        <v>700</v>
      </c>
      <c r="W510" s="51">
        <v>700</v>
      </c>
      <c r="X510" s="51">
        <v>700</v>
      </c>
      <c r="Y510" s="19" t="s">
        <v>844</v>
      </c>
      <c r="Z510" s="19" t="s">
        <v>4307</v>
      </c>
      <c r="AA510" s="28"/>
      <c r="AB510" s="56"/>
      <c r="AC510" s="28"/>
      <c r="AD510" s="28"/>
      <c r="AE510" s="54"/>
      <c r="AF510" s="54"/>
      <c r="AG510" s="54"/>
      <c r="AH510" s="53"/>
      <c r="AI510" s="53" t="s">
        <v>1591</v>
      </c>
      <c r="AJ510" s="53" t="s">
        <v>1591</v>
      </c>
    </row>
    <row r="511" spans="1:36" s="3" customFormat="1" ht="108" x14ac:dyDescent="0.25">
      <c r="A511" s="17" t="s">
        <v>843</v>
      </c>
      <c r="B511" s="18" t="s">
        <v>37</v>
      </c>
      <c r="C511" s="76" t="s">
        <v>4471</v>
      </c>
      <c r="D511" s="45" t="s">
        <v>4472</v>
      </c>
      <c r="E511" s="78" t="s">
        <v>4473</v>
      </c>
      <c r="F511" s="79" t="s">
        <v>4474</v>
      </c>
      <c r="G511" s="80">
        <v>816000</v>
      </c>
      <c r="H511" s="80" t="s">
        <v>46</v>
      </c>
      <c r="I511" s="78" t="s">
        <v>153</v>
      </c>
      <c r="J511" s="79" t="s">
        <v>848</v>
      </c>
      <c r="K511" s="81" t="s">
        <v>4475</v>
      </c>
      <c r="L511" s="82">
        <v>41712</v>
      </c>
      <c r="M511" s="83">
        <v>41892</v>
      </c>
      <c r="N511" s="80">
        <v>813363.36</v>
      </c>
      <c r="O511" s="82">
        <v>41896</v>
      </c>
      <c r="P511" s="84">
        <v>42261</v>
      </c>
      <c r="Q511" s="80">
        <v>0</v>
      </c>
      <c r="R511" s="80">
        <v>813363.36</v>
      </c>
      <c r="S511" s="80"/>
      <c r="T511" s="81" t="s">
        <v>45</v>
      </c>
      <c r="U511" s="80">
        <v>214896.12</v>
      </c>
      <c r="V511" s="80"/>
      <c r="W511" s="80"/>
      <c r="X511" s="80">
        <v>626268.54</v>
      </c>
      <c r="Y511" s="76" t="s">
        <v>503</v>
      </c>
      <c r="Z511" s="19" t="s">
        <v>7038</v>
      </c>
      <c r="AA511" s="28" t="s">
        <v>7478</v>
      </c>
      <c r="AB511" s="56">
        <v>43424</v>
      </c>
      <c r="AC511" s="28" t="s">
        <v>7257</v>
      </c>
      <c r="AD511" s="28" t="s">
        <v>7479</v>
      </c>
      <c r="AE511" s="54" t="s">
        <v>7480</v>
      </c>
      <c r="AF511" s="54"/>
      <c r="AG511" s="54" t="s">
        <v>7481</v>
      </c>
      <c r="AH511" s="53" t="s">
        <v>1591</v>
      </c>
      <c r="AI511" s="53" t="s">
        <v>2686</v>
      </c>
      <c r="AJ511" s="53" t="s">
        <v>1591</v>
      </c>
    </row>
    <row r="512" spans="1:36" s="3" customFormat="1" ht="84" x14ac:dyDescent="0.25">
      <c r="A512" s="17" t="s">
        <v>843</v>
      </c>
      <c r="B512" s="18" t="s">
        <v>37</v>
      </c>
      <c r="C512" s="76" t="s">
        <v>4476</v>
      </c>
      <c r="D512" s="45" t="s">
        <v>4477</v>
      </c>
      <c r="E512" s="78" t="s">
        <v>4478</v>
      </c>
      <c r="F512" s="79" t="s">
        <v>4470</v>
      </c>
      <c r="G512" s="80">
        <v>679614.95</v>
      </c>
      <c r="H512" s="80" t="s">
        <v>46</v>
      </c>
      <c r="I512" s="78" t="s">
        <v>846</v>
      </c>
      <c r="J512" s="79" t="s">
        <v>4479</v>
      </c>
      <c r="K512" s="81" t="s">
        <v>839</v>
      </c>
      <c r="L512" s="82">
        <v>41152</v>
      </c>
      <c r="M512" s="83">
        <v>41425</v>
      </c>
      <c r="N512" s="80">
        <v>676778.83</v>
      </c>
      <c r="O512" s="82" t="s">
        <v>4480</v>
      </c>
      <c r="P512" s="84"/>
      <c r="Q512" s="80">
        <v>0</v>
      </c>
      <c r="R512" s="80">
        <v>676778.83</v>
      </c>
      <c r="S512" s="80"/>
      <c r="T512" s="81" t="s">
        <v>45</v>
      </c>
      <c r="U512" s="80">
        <v>267659.53999999998</v>
      </c>
      <c r="V512" s="80"/>
      <c r="W512" s="80"/>
      <c r="X512" s="80">
        <v>267659.53999999998</v>
      </c>
      <c r="Y512" s="76" t="s">
        <v>4481</v>
      </c>
      <c r="Z512" s="19" t="s">
        <v>7038</v>
      </c>
      <c r="AA512" s="28" t="s">
        <v>7478</v>
      </c>
      <c r="AB512" s="56">
        <v>43424</v>
      </c>
      <c r="AC512" s="28" t="s">
        <v>7257</v>
      </c>
      <c r="AD512" s="28" t="s">
        <v>7479</v>
      </c>
      <c r="AE512" s="54" t="s">
        <v>7482</v>
      </c>
      <c r="AF512" s="54"/>
      <c r="AG512" s="54" t="s">
        <v>7483</v>
      </c>
      <c r="AH512" s="53" t="s">
        <v>1591</v>
      </c>
      <c r="AI512" s="53" t="s">
        <v>2686</v>
      </c>
      <c r="AJ512" s="53" t="s">
        <v>1591</v>
      </c>
    </row>
    <row r="513" spans="1:36" s="3" customFormat="1" ht="84" x14ac:dyDescent="0.25">
      <c r="A513" s="17" t="s">
        <v>843</v>
      </c>
      <c r="B513" s="18" t="s">
        <v>37</v>
      </c>
      <c r="C513" s="76" t="s">
        <v>4483</v>
      </c>
      <c r="D513" s="45" t="s">
        <v>4484</v>
      </c>
      <c r="E513" s="78" t="s">
        <v>4478</v>
      </c>
      <c r="F513" s="79" t="s">
        <v>4470</v>
      </c>
      <c r="G513" s="80">
        <v>475322</v>
      </c>
      <c r="H513" s="80"/>
      <c r="I513" s="78" t="s">
        <v>853</v>
      </c>
      <c r="J513" s="79" t="s">
        <v>4485</v>
      </c>
      <c r="K513" s="81" t="s">
        <v>324</v>
      </c>
      <c r="L513" s="82">
        <v>42438</v>
      </c>
      <c r="M513" s="83">
        <v>42618</v>
      </c>
      <c r="N513" s="80">
        <v>474574.78</v>
      </c>
      <c r="O513" s="82"/>
      <c r="P513" s="84"/>
      <c r="Q513" s="80">
        <v>0</v>
      </c>
      <c r="R513" s="80">
        <v>474574.78</v>
      </c>
      <c r="S513" s="80"/>
      <c r="T513" s="81" t="s">
        <v>45</v>
      </c>
      <c r="U513" s="80"/>
      <c r="V513" s="80"/>
      <c r="W513" s="80"/>
      <c r="X513" s="80">
        <v>244329.96</v>
      </c>
      <c r="Y513" s="76" t="s">
        <v>503</v>
      </c>
      <c r="Z513" s="19" t="s">
        <v>7038</v>
      </c>
      <c r="AA513" s="28" t="s">
        <v>7478</v>
      </c>
      <c r="AB513" s="56">
        <v>43424</v>
      </c>
      <c r="AC513" s="28" t="s">
        <v>7257</v>
      </c>
      <c r="AD513" s="28" t="s">
        <v>7479</v>
      </c>
      <c r="AE513" s="54" t="s">
        <v>7482</v>
      </c>
      <c r="AF513" s="54"/>
      <c r="AG513" s="54" t="s">
        <v>7483</v>
      </c>
      <c r="AH513" s="53" t="s">
        <v>1591</v>
      </c>
      <c r="AI513" s="53" t="s">
        <v>2686</v>
      </c>
      <c r="AJ513" s="53" t="s">
        <v>1591</v>
      </c>
    </row>
    <row r="514" spans="1:36" s="3" customFormat="1" ht="84" x14ac:dyDescent="0.25">
      <c r="A514" s="17" t="s">
        <v>843</v>
      </c>
      <c r="B514" s="18" t="s">
        <v>37</v>
      </c>
      <c r="C514" s="76" t="s">
        <v>4486</v>
      </c>
      <c r="D514" s="45" t="s">
        <v>4487</v>
      </c>
      <c r="E514" s="78" t="s">
        <v>4478</v>
      </c>
      <c r="F514" s="79" t="s">
        <v>4470</v>
      </c>
      <c r="G514" s="80">
        <v>409119.29</v>
      </c>
      <c r="H514" s="80"/>
      <c r="I514" s="78" t="s">
        <v>4488</v>
      </c>
      <c r="J514" s="79" t="s">
        <v>4489</v>
      </c>
      <c r="K514" s="81" t="s">
        <v>850</v>
      </c>
      <c r="L514" s="82">
        <v>42068</v>
      </c>
      <c r="M514" s="83">
        <v>42248</v>
      </c>
      <c r="N514" s="80">
        <v>405061.63</v>
      </c>
      <c r="O514" s="82"/>
      <c r="P514" s="84"/>
      <c r="Q514" s="80">
        <v>0</v>
      </c>
      <c r="R514" s="80">
        <v>405061.63</v>
      </c>
      <c r="S514" s="80"/>
      <c r="T514" s="81" t="s">
        <v>45</v>
      </c>
      <c r="U514" s="80">
        <v>99074.93</v>
      </c>
      <c r="V514" s="80"/>
      <c r="W514" s="80"/>
      <c r="X514" s="80">
        <v>99074.93</v>
      </c>
      <c r="Y514" s="76" t="s">
        <v>851</v>
      </c>
      <c r="Z514" s="19" t="s">
        <v>7038</v>
      </c>
      <c r="AA514" s="28" t="s">
        <v>7478</v>
      </c>
      <c r="AB514" s="56">
        <v>43424</v>
      </c>
      <c r="AC514" s="28" t="s">
        <v>7257</v>
      </c>
      <c r="AD514" s="28" t="s">
        <v>7479</v>
      </c>
      <c r="AE514" s="54" t="s">
        <v>7482</v>
      </c>
      <c r="AF514" s="54"/>
      <c r="AG514" s="54" t="s">
        <v>7483</v>
      </c>
      <c r="AH514" s="53" t="s">
        <v>1591</v>
      </c>
      <c r="AI514" s="53" t="s">
        <v>2686</v>
      </c>
      <c r="AJ514" s="53" t="s">
        <v>1591</v>
      </c>
    </row>
    <row r="515" spans="1:36" s="3" customFormat="1" ht="48" x14ac:dyDescent="0.25">
      <c r="A515" s="17" t="s">
        <v>843</v>
      </c>
      <c r="B515" s="18" t="s">
        <v>37</v>
      </c>
      <c r="C515" s="76" t="s">
        <v>4492</v>
      </c>
      <c r="D515" s="45" t="s">
        <v>4493</v>
      </c>
      <c r="E515" s="78"/>
      <c r="F515" s="79"/>
      <c r="G515" s="80">
        <v>63779.81</v>
      </c>
      <c r="H515" s="80"/>
      <c r="I515" s="78" t="s">
        <v>4494</v>
      </c>
      <c r="J515" s="79" t="s">
        <v>4495</v>
      </c>
      <c r="K515" s="81" t="s">
        <v>4496</v>
      </c>
      <c r="L515" s="82">
        <v>42055</v>
      </c>
      <c r="M515" s="83">
        <v>42115</v>
      </c>
      <c r="N515" s="80">
        <v>58996.78</v>
      </c>
      <c r="O515" s="82"/>
      <c r="P515" s="84"/>
      <c r="Q515" s="80">
        <v>0</v>
      </c>
      <c r="R515" s="80">
        <v>58996.78</v>
      </c>
      <c r="S515" s="80"/>
      <c r="T515" s="81" t="s">
        <v>45</v>
      </c>
      <c r="U515" s="80">
        <v>51620.65</v>
      </c>
      <c r="V515" s="80"/>
      <c r="W515" s="80"/>
      <c r="X515" s="80">
        <v>51620.65</v>
      </c>
      <c r="Y515" s="76" t="s">
        <v>844</v>
      </c>
      <c r="Z515" s="19" t="s">
        <v>7038</v>
      </c>
      <c r="AA515" s="28" t="s">
        <v>7478</v>
      </c>
      <c r="AB515" s="56">
        <v>43424</v>
      </c>
      <c r="AC515" s="28" t="s">
        <v>7257</v>
      </c>
      <c r="AD515" s="28" t="s">
        <v>7479</v>
      </c>
      <c r="AE515" s="54" t="s">
        <v>7484</v>
      </c>
      <c r="AF515" s="54"/>
      <c r="AG515" s="54" t="s">
        <v>7099</v>
      </c>
      <c r="AH515" s="53" t="s">
        <v>1591</v>
      </c>
      <c r="AI515" s="53" t="s">
        <v>2686</v>
      </c>
      <c r="AJ515" s="53" t="s">
        <v>1591</v>
      </c>
    </row>
    <row r="516" spans="1:36" s="3" customFormat="1" ht="48" x14ac:dyDescent="0.25">
      <c r="A516" s="17" t="s">
        <v>843</v>
      </c>
      <c r="B516" s="18" t="s">
        <v>37</v>
      </c>
      <c r="C516" s="76" t="s">
        <v>4482</v>
      </c>
      <c r="D516" s="45" t="s">
        <v>4497</v>
      </c>
      <c r="E516" s="78" t="s">
        <v>4473</v>
      </c>
      <c r="F516" s="79" t="s">
        <v>4474</v>
      </c>
      <c r="G516" s="80">
        <v>153000</v>
      </c>
      <c r="H516" s="80" t="s">
        <v>46</v>
      </c>
      <c r="I516" s="78" t="s">
        <v>153</v>
      </c>
      <c r="J516" s="79" t="s">
        <v>848</v>
      </c>
      <c r="K516" s="81" t="s">
        <v>4498</v>
      </c>
      <c r="L516" s="82">
        <v>41641</v>
      </c>
      <c r="M516" s="83">
        <v>41761</v>
      </c>
      <c r="N516" s="80"/>
      <c r="O516" s="82" t="s">
        <v>46</v>
      </c>
      <c r="P516" s="84"/>
      <c r="Q516" s="80">
        <v>0</v>
      </c>
      <c r="R516" s="80"/>
      <c r="S516" s="80"/>
      <c r="T516" s="81"/>
      <c r="U516" s="80"/>
      <c r="V516" s="80"/>
      <c r="W516" s="80"/>
      <c r="X516" s="80"/>
      <c r="Y516" s="76" t="s">
        <v>849</v>
      </c>
      <c r="Z516" s="19" t="s">
        <v>7038</v>
      </c>
      <c r="AA516" s="28" t="s">
        <v>7478</v>
      </c>
      <c r="AB516" s="56">
        <v>43424</v>
      </c>
      <c r="AC516" s="28" t="s">
        <v>7257</v>
      </c>
      <c r="AD516" s="28" t="s">
        <v>7479</v>
      </c>
      <c r="AE516" s="54" t="s">
        <v>7485</v>
      </c>
      <c r="AF516" s="54"/>
      <c r="AG516" s="54" t="s">
        <v>7486</v>
      </c>
      <c r="AH516" s="53" t="s">
        <v>1591</v>
      </c>
      <c r="AI516" s="53" t="s">
        <v>2686</v>
      </c>
      <c r="AJ516" s="53" t="s">
        <v>1591</v>
      </c>
    </row>
    <row r="517" spans="1:36" s="3" customFormat="1" ht="36" x14ac:dyDescent="0.25">
      <c r="A517" s="17" t="s">
        <v>856</v>
      </c>
      <c r="B517" s="18" t="s">
        <v>37</v>
      </c>
      <c r="C517" s="19" t="s">
        <v>77</v>
      </c>
      <c r="D517" s="45" t="s">
        <v>3403</v>
      </c>
      <c r="E517" s="50" t="s">
        <v>3688</v>
      </c>
      <c r="F517" s="58" t="s">
        <v>66</v>
      </c>
      <c r="G517" s="51">
        <v>603773.24</v>
      </c>
      <c r="H517" s="51">
        <v>36762.379999999997</v>
      </c>
      <c r="I517" s="50" t="s">
        <v>1183</v>
      </c>
      <c r="J517" s="58" t="s">
        <v>3689</v>
      </c>
      <c r="K517" s="52" t="s">
        <v>1562</v>
      </c>
      <c r="L517" s="59" t="s">
        <v>2926</v>
      </c>
      <c r="M517" s="60">
        <f>L517+365</f>
        <v>42222</v>
      </c>
      <c r="N517" s="51">
        <v>640535.62</v>
      </c>
      <c r="O517" s="59" t="s">
        <v>38</v>
      </c>
      <c r="P517" s="59">
        <v>0</v>
      </c>
      <c r="Q517" s="51"/>
      <c r="R517" s="51">
        <f>N517+Q517</f>
        <v>640535.62</v>
      </c>
      <c r="S517" s="51"/>
      <c r="T517" s="52" t="s">
        <v>52</v>
      </c>
      <c r="U517" s="51" t="s">
        <v>44</v>
      </c>
      <c r="V517" s="51" t="s">
        <v>44</v>
      </c>
      <c r="W517" s="51"/>
      <c r="X517" s="51"/>
      <c r="Y517" s="19" t="s">
        <v>575</v>
      </c>
      <c r="Z517" s="19"/>
      <c r="AA517" s="28" t="s">
        <v>7478</v>
      </c>
      <c r="AB517" s="56">
        <v>43424</v>
      </c>
      <c r="AC517" s="28" t="s">
        <v>7257</v>
      </c>
      <c r="AD517" s="28" t="s">
        <v>7479</v>
      </c>
      <c r="AE517" s="54"/>
      <c r="AF517" s="54"/>
      <c r="AG517" s="54"/>
      <c r="AH517" s="53"/>
      <c r="AI517" s="53" t="s">
        <v>1591</v>
      </c>
      <c r="AJ517" s="53" t="s">
        <v>1591</v>
      </c>
    </row>
    <row r="518" spans="1:36" s="3" customFormat="1" ht="72" x14ac:dyDescent="0.25">
      <c r="A518" s="17" t="s">
        <v>858</v>
      </c>
      <c r="B518" s="18" t="s">
        <v>37</v>
      </c>
      <c r="C518" s="76" t="s">
        <v>4499</v>
      </c>
      <c r="D518" s="45" t="s">
        <v>4500</v>
      </c>
      <c r="E518" s="78"/>
      <c r="F518" s="79"/>
      <c r="G518" s="80"/>
      <c r="H518" s="80"/>
      <c r="I518" s="78" t="s">
        <v>826</v>
      </c>
      <c r="J518" s="79" t="s">
        <v>860</v>
      </c>
      <c r="K518" s="81" t="s">
        <v>549</v>
      </c>
      <c r="L518" s="82">
        <v>42628</v>
      </c>
      <c r="M518" s="83">
        <v>42838</v>
      </c>
      <c r="N518" s="80">
        <v>1063302.9099999999</v>
      </c>
      <c r="O518" s="82" t="s">
        <v>4501</v>
      </c>
      <c r="P518" s="84" t="s">
        <v>4502</v>
      </c>
      <c r="Q518" s="80">
        <v>0</v>
      </c>
      <c r="R518" s="80">
        <v>1063302.9099999999</v>
      </c>
      <c r="S518" s="80"/>
      <c r="T518" s="81" t="s">
        <v>32</v>
      </c>
      <c r="U518" s="80"/>
      <c r="V518" s="80"/>
      <c r="W518" s="80"/>
      <c r="X518" s="80"/>
      <c r="Y518" s="76" t="s">
        <v>4503</v>
      </c>
      <c r="Z518" s="19" t="s">
        <v>7038</v>
      </c>
      <c r="AA518" s="28" t="s">
        <v>8408</v>
      </c>
      <c r="AB518" s="56">
        <v>43437</v>
      </c>
      <c r="AC518" s="28" t="s">
        <v>5673</v>
      </c>
      <c r="AD518" s="28" t="s">
        <v>8491</v>
      </c>
      <c r="AE518" s="54" t="s">
        <v>8492</v>
      </c>
      <c r="AF518" s="54"/>
      <c r="AG518" s="54" t="s">
        <v>8493</v>
      </c>
      <c r="AH518" s="53" t="s">
        <v>39</v>
      </c>
      <c r="AI518" s="53" t="s">
        <v>2686</v>
      </c>
      <c r="AJ518" s="53" t="s">
        <v>1591</v>
      </c>
    </row>
    <row r="519" spans="1:36" s="3" customFormat="1" ht="72" x14ac:dyDescent="0.25">
      <c r="A519" s="17" t="s">
        <v>858</v>
      </c>
      <c r="B519" s="18" t="s">
        <v>37</v>
      </c>
      <c r="C519" s="76" t="s">
        <v>4505</v>
      </c>
      <c r="D519" s="45" t="s">
        <v>4506</v>
      </c>
      <c r="E519" s="78"/>
      <c r="F519" s="79"/>
      <c r="G519" s="80"/>
      <c r="H519" s="80"/>
      <c r="I519" s="78" t="s">
        <v>204</v>
      </c>
      <c r="J519" s="79" t="s">
        <v>4507</v>
      </c>
      <c r="K519" s="81" t="s">
        <v>116</v>
      </c>
      <c r="L519" s="82"/>
      <c r="M519" s="83">
        <v>150</v>
      </c>
      <c r="N519" s="80">
        <v>222996.95</v>
      </c>
      <c r="O519" s="82" t="s">
        <v>4501</v>
      </c>
      <c r="P519" s="84" t="s">
        <v>662</v>
      </c>
      <c r="Q519" s="80">
        <v>0</v>
      </c>
      <c r="R519" s="80">
        <v>222996.95</v>
      </c>
      <c r="S519" s="80"/>
      <c r="T519" s="81" t="s">
        <v>32</v>
      </c>
      <c r="U519" s="80">
        <v>65364.9</v>
      </c>
      <c r="V519" s="80"/>
      <c r="W519" s="80"/>
      <c r="X519" s="80">
        <v>65364.9</v>
      </c>
      <c r="Y519" s="76" t="s">
        <v>4508</v>
      </c>
      <c r="Z519" s="19" t="s">
        <v>7038</v>
      </c>
      <c r="AA519" s="28" t="s">
        <v>8408</v>
      </c>
      <c r="AB519" s="56">
        <v>43437</v>
      </c>
      <c r="AC519" s="28" t="s">
        <v>5673</v>
      </c>
      <c r="AD519" s="28" t="s">
        <v>8491</v>
      </c>
      <c r="AE519" s="54" t="s">
        <v>8496</v>
      </c>
      <c r="AF519" s="54"/>
      <c r="AG519" s="54" t="s">
        <v>8494</v>
      </c>
      <c r="AH519" s="53" t="s">
        <v>1591</v>
      </c>
      <c r="AI519" s="53" t="s">
        <v>2686</v>
      </c>
      <c r="AJ519" s="53" t="s">
        <v>1591</v>
      </c>
    </row>
    <row r="520" spans="1:36" s="3" customFormat="1" ht="60" x14ac:dyDescent="0.25">
      <c r="A520" s="17" t="s">
        <v>858</v>
      </c>
      <c r="B520" s="18" t="s">
        <v>37</v>
      </c>
      <c r="C520" s="76" t="s">
        <v>4509</v>
      </c>
      <c r="D520" s="45" t="s">
        <v>4510</v>
      </c>
      <c r="E520" s="78"/>
      <c r="F520" s="79"/>
      <c r="G520" s="80"/>
      <c r="H520" s="80"/>
      <c r="I520" s="78" t="s">
        <v>204</v>
      </c>
      <c r="J520" s="79" t="s">
        <v>4507</v>
      </c>
      <c r="K520" s="81" t="s">
        <v>422</v>
      </c>
      <c r="L520" s="82"/>
      <c r="M520" s="83"/>
      <c r="N520" s="80">
        <v>132307.5</v>
      </c>
      <c r="O520" s="82"/>
      <c r="P520" s="84"/>
      <c r="Q520" s="80">
        <v>0</v>
      </c>
      <c r="R520" s="80">
        <v>132307.5</v>
      </c>
      <c r="S520" s="80"/>
      <c r="T520" s="81" t="s">
        <v>32</v>
      </c>
      <c r="U520" s="80"/>
      <c r="V520" s="80"/>
      <c r="W520" s="80"/>
      <c r="X520" s="80"/>
      <c r="Y520" s="76" t="s">
        <v>4504</v>
      </c>
      <c r="Z520" s="19" t="s">
        <v>7038</v>
      </c>
      <c r="AA520" s="28" t="s">
        <v>8408</v>
      </c>
      <c r="AB520" s="56">
        <v>43437</v>
      </c>
      <c r="AC520" s="28" t="s">
        <v>5673</v>
      </c>
      <c r="AD520" s="28" t="s">
        <v>8491</v>
      </c>
      <c r="AE520" s="54" t="s">
        <v>8497</v>
      </c>
      <c r="AF520" s="54"/>
      <c r="AG520" s="54" t="s">
        <v>8495</v>
      </c>
      <c r="AH520" s="53" t="s">
        <v>1591</v>
      </c>
      <c r="AI520" s="53" t="s">
        <v>2686</v>
      </c>
      <c r="AJ520" s="53" t="s">
        <v>1591</v>
      </c>
    </row>
    <row r="521" spans="1:36" s="3" customFormat="1" ht="48" x14ac:dyDescent="0.25">
      <c r="A521" s="17" t="s">
        <v>862</v>
      </c>
      <c r="B521" s="18" t="s">
        <v>37</v>
      </c>
      <c r="C521" s="76" t="s">
        <v>6975</v>
      </c>
      <c r="D521" s="45" t="s">
        <v>6977</v>
      </c>
      <c r="E521" s="78"/>
      <c r="F521" s="79"/>
      <c r="G521" s="80"/>
      <c r="H521" s="80"/>
      <c r="I521" s="78" t="s">
        <v>2944</v>
      </c>
      <c r="J521" s="79" t="s">
        <v>6978</v>
      </c>
      <c r="K521" s="81" t="s">
        <v>1397</v>
      </c>
      <c r="L521" s="82">
        <v>41886</v>
      </c>
      <c r="M521" s="83"/>
      <c r="N521" s="80">
        <v>893661.53</v>
      </c>
      <c r="O521" s="82">
        <v>42156</v>
      </c>
      <c r="P521" s="84" t="s">
        <v>6979</v>
      </c>
      <c r="Q521" s="80"/>
      <c r="R521" s="80">
        <v>893661.53</v>
      </c>
      <c r="S521" s="80"/>
      <c r="T521" s="81" t="s">
        <v>6976</v>
      </c>
      <c r="U521" s="80" t="s">
        <v>6980</v>
      </c>
      <c r="V521" s="80"/>
      <c r="W521" s="80"/>
      <c r="X521" s="80">
        <v>522692.55</v>
      </c>
      <c r="Y521" s="19" t="s">
        <v>175</v>
      </c>
      <c r="Z521" s="19" t="s">
        <v>7038</v>
      </c>
      <c r="AA521" s="28" t="s">
        <v>8433</v>
      </c>
      <c r="AB521" s="56">
        <v>43410</v>
      </c>
      <c r="AC521" s="28" t="s">
        <v>7487</v>
      </c>
      <c r="AD521" s="28" t="s">
        <v>7488</v>
      </c>
      <c r="AE521" s="54" t="s">
        <v>7489</v>
      </c>
      <c r="AF521" s="54"/>
      <c r="AG521" s="54" t="s">
        <v>7490</v>
      </c>
      <c r="AH521" s="53" t="s">
        <v>1591</v>
      </c>
      <c r="AI521" s="53" t="s">
        <v>2686</v>
      </c>
      <c r="AJ521" s="53" t="s">
        <v>1591</v>
      </c>
    </row>
    <row r="522" spans="1:36" s="3" customFormat="1" ht="84" x14ac:dyDescent="0.25">
      <c r="A522" s="17" t="s">
        <v>862</v>
      </c>
      <c r="B522" s="18" t="s">
        <v>37</v>
      </c>
      <c r="C522" s="19" t="s">
        <v>3038</v>
      </c>
      <c r="D522" s="45" t="s">
        <v>3406</v>
      </c>
      <c r="E522" s="50" t="s">
        <v>180</v>
      </c>
      <c r="F522" s="58" t="s">
        <v>180</v>
      </c>
      <c r="G522" s="51"/>
      <c r="H522" s="51"/>
      <c r="I522" s="50" t="s">
        <v>2944</v>
      </c>
      <c r="J522" s="58" t="s">
        <v>3690</v>
      </c>
      <c r="K522" s="52" t="s">
        <v>3219</v>
      </c>
      <c r="L522" s="59">
        <v>42914</v>
      </c>
      <c r="M522" s="60">
        <f>L522+120</f>
        <v>43034</v>
      </c>
      <c r="N522" s="51">
        <v>534209.05000000005</v>
      </c>
      <c r="O522" s="59">
        <v>26042018</v>
      </c>
      <c r="P522" s="59">
        <f>M522+180</f>
        <v>43214</v>
      </c>
      <c r="Q522" s="51"/>
      <c r="R522" s="51">
        <f>N522+Q522</f>
        <v>534209.05000000005</v>
      </c>
      <c r="S522" s="51" t="s">
        <v>180</v>
      </c>
      <c r="T522" s="52">
        <v>44905100</v>
      </c>
      <c r="U522" s="51">
        <v>79503.38</v>
      </c>
      <c r="V522" s="51">
        <v>79503.38</v>
      </c>
      <c r="W522" s="51">
        <v>79503.38</v>
      </c>
      <c r="X522" s="51">
        <v>79503.38</v>
      </c>
      <c r="Y522" s="19" t="s">
        <v>175</v>
      </c>
      <c r="Z522" s="19"/>
      <c r="AA522" s="28" t="s">
        <v>8433</v>
      </c>
      <c r="AB522" s="56">
        <v>43410</v>
      </c>
      <c r="AC522" s="28" t="s">
        <v>7487</v>
      </c>
      <c r="AD522" s="28" t="s">
        <v>7488</v>
      </c>
      <c r="AE522" s="54" t="s">
        <v>7491</v>
      </c>
      <c r="AF522" s="54"/>
      <c r="AG522" s="54" t="s">
        <v>7492</v>
      </c>
      <c r="AH522" s="53" t="s">
        <v>1591</v>
      </c>
      <c r="AI522" s="53" t="s">
        <v>2686</v>
      </c>
      <c r="AJ522" s="53" t="s">
        <v>1591</v>
      </c>
    </row>
    <row r="523" spans="1:36" s="3" customFormat="1" ht="96" x14ac:dyDescent="0.25">
      <c r="A523" s="17" t="s">
        <v>862</v>
      </c>
      <c r="B523" s="18" t="s">
        <v>37</v>
      </c>
      <c r="C523" s="76" t="s">
        <v>6981</v>
      </c>
      <c r="D523" s="45" t="s">
        <v>6982</v>
      </c>
      <c r="E523" s="78"/>
      <c r="F523" s="79"/>
      <c r="G523" s="80"/>
      <c r="H523" s="80"/>
      <c r="I523" s="78" t="s">
        <v>2943</v>
      </c>
      <c r="J523" s="79" t="s">
        <v>6983</v>
      </c>
      <c r="K523" s="81" t="s">
        <v>6984</v>
      </c>
      <c r="L523" s="82">
        <v>41892</v>
      </c>
      <c r="M523" s="83"/>
      <c r="N523" s="80">
        <v>299897.88</v>
      </c>
      <c r="O523" s="82"/>
      <c r="P523" s="84"/>
      <c r="Q523" s="80"/>
      <c r="R523" s="80">
        <v>299897.88</v>
      </c>
      <c r="S523" s="80"/>
      <c r="T523" s="81" t="s">
        <v>6976</v>
      </c>
      <c r="U523" s="80" t="s">
        <v>6985</v>
      </c>
      <c r="V523" s="80"/>
      <c r="W523" s="80"/>
      <c r="X523" s="80">
        <v>134610.73000000001</v>
      </c>
      <c r="Y523" s="19" t="s">
        <v>157</v>
      </c>
      <c r="Z523" s="19" t="s">
        <v>7038</v>
      </c>
      <c r="AA523" s="28" t="s">
        <v>8433</v>
      </c>
      <c r="AB523" s="56">
        <v>43410</v>
      </c>
      <c r="AC523" s="28" t="s">
        <v>7487</v>
      </c>
      <c r="AD523" s="28" t="s">
        <v>7488</v>
      </c>
      <c r="AE523" s="54" t="s">
        <v>7491</v>
      </c>
      <c r="AF523" s="54"/>
      <c r="AG523" s="54" t="s">
        <v>7493</v>
      </c>
      <c r="AH523" s="53" t="s">
        <v>1591</v>
      </c>
      <c r="AI523" s="53" t="s">
        <v>2686</v>
      </c>
      <c r="AJ523" s="53" t="s">
        <v>1591</v>
      </c>
    </row>
    <row r="524" spans="1:36" s="3" customFormat="1" ht="60" x14ac:dyDescent="0.25">
      <c r="A524" s="17" t="s">
        <v>862</v>
      </c>
      <c r="B524" s="18" t="s">
        <v>37</v>
      </c>
      <c r="C524" s="19" t="s">
        <v>3404</v>
      </c>
      <c r="D524" s="45" t="s">
        <v>3405</v>
      </c>
      <c r="E524" s="50" t="s">
        <v>180</v>
      </c>
      <c r="F524" s="58" t="s">
        <v>180</v>
      </c>
      <c r="G524" s="51"/>
      <c r="H524" s="51"/>
      <c r="I524" s="50" t="s">
        <v>2941</v>
      </c>
      <c r="J524" s="58" t="s">
        <v>2942</v>
      </c>
      <c r="K524" s="52" t="s">
        <v>923</v>
      </c>
      <c r="L524" s="59">
        <v>42718</v>
      </c>
      <c r="M524" s="60">
        <f>L524+120</f>
        <v>42838</v>
      </c>
      <c r="N524" s="51">
        <v>90944.71</v>
      </c>
      <c r="O524" s="59">
        <v>42739</v>
      </c>
      <c r="P524" s="59">
        <f>M524+270</f>
        <v>43108</v>
      </c>
      <c r="Q524" s="51"/>
      <c r="R524" s="51">
        <f t="shared" ref="R524:R529" si="24">N524+Q524</f>
        <v>90944.71</v>
      </c>
      <c r="S524" s="51" t="s">
        <v>3921</v>
      </c>
      <c r="T524" s="52">
        <v>44905100</v>
      </c>
      <c r="U524" s="51" t="s">
        <v>3922</v>
      </c>
      <c r="V524" s="51">
        <v>2138.7399999999998</v>
      </c>
      <c r="W524" s="51">
        <v>13638.64</v>
      </c>
      <c r="X524" s="51">
        <v>13638.64</v>
      </c>
      <c r="Y524" s="19" t="s">
        <v>175</v>
      </c>
      <c r="Z524" s="19"/>
      <c r="AA524" s="28" t="s">
        <v>8433</v>
      </c>
      <c r="AB524" s="56">
        <v>43410</v>
      </c>
      <c r="AC524" s="28" t="s">
        <v>7487</v>
      </c>
      <c r="AD524" s="28" t="s">
        <v>7488</v>
      </c>
      <c r="AE524" s="54" t="s">
        <v>7494</v>
      </c>
      <c r="AF524" s="54"/>
      <c r="AG524" s="54" t="s">
        <v>7495</v>
      </c>
      <c r="AH524" s="53" t="s">
        <v>1591</v>
      </c>
      <c r="AI524" s="53" t="s">
        <v>2686</v>
      </c>
      <c r="AJ524" s="53" t="s">
        <v>1591</v>
      </c>
    </row>
    <row r="525" spans="1:36" s="3" customFormat="1" ht="48" x14ac:dyDescent="0.25">
      <c r="A525" s="17" t="s">
        <v>863</v>
      </c>
      <c r="B525" s="18" t="s">
        <v>37</v>
      </c>
      <c r="C525" s="19" t="s">
        <v>880</v>
      </c>
      <c r="D525" s="45" t="s">
        <v>881</v>
      </c>
      <c r="E525" s="50" t="s">
        <v>882</v>
      </c>
      <c r="F525" s="58" t="s">
        <v>874</v>
      </c>
      <c r="G525" s="51">
        <v>1284300</v>
      </c>
      <c r="H525" s="51">
        <v>53700</v>
      </c>
      <c r="I525" s="50" t="s">
        <v>868</v>
      </c>
      <c r="J525" s="58" t="s">
        <v>869</v>
      </c>
      <c r="K525" s="52" t="s">
        <v>883</v>
      </c>
      <c r="L525" s="59">
        <v>40847</v>
      </c>
      <c r="M525" s="60">
        <f>L525+180</f>
        <v>41027</v>
      </c>
      <c r="N525" s="51">
        <v>1319923.8899999999</v>
      </c>
      <c r="O525" s="59" t="s">
        <v>38</v>
      </c>
      <c r="P525" s="59">
        <f>M525+730</f>
        <v>41757</v>
      </c>
      <c r="Q525" s="51">
        <v>-40.24</v>
      </c>
      <c r="R525" s="51">
        <f t="shared" si="24"/>
        <v>1319883.6499999999</v>
      </c>
      <c r="S525" s="51"/>
      <c r="T525" s="52" t="s">
        <v>52</v>
      </c>
      <c r="U525" s="51">
        <v>402779.38</v>
      </c>
      <c r="V525" s="51" t="s">
        <v>870</v>
      </c>
      <c r="W525" s="51"/>
      <c r="X525" s="51">
        <v>402779.38</v>
      </c>
      <c r="Y525" s="19" t="s">
        <v>42</v>
      </c>
      <c r="Z525" s="19"/>
      <c r="AA525" s="28" t="s">
        <v>8441</v>
      </c>
      <c r="AB525" s="56">
        <v>43413</v>
      </c>
      <c r="AC525" s="28" t="s">
        <v>7496</v>
      </c>
      <c r="AD525" s="28" t="s">
        <v>7497</v>
      </c>
      <c r="AE525" s="54" t="s">
        <v>7498</v>
      </c>
      <c r="AF525" s="54"/>
      <c r="AG525" s="54" t="s">
        <v>7499</v>
      </c>
      <c r="AH525" s="53" t="s">
        <v>1591</v>
      </c>
      <c r="AI525" s="53" t="s">
        <v>2686</v>
      </c>
      <c r="AJ525" s="53" t="s">
        <v>1591</v>
      </c>
    </row>
    <row r="526" spans="1:36" s="3" customFormat="1" ht="48" x14ac:dyDescent="0.25">
      <c r="A526" s="35" t="s">
        <v>863</v>
      </c>
      <c r="B526" s="18" t="s">
        <v>37</v>
      </c>
      <c r="C526" s="19" t="s">
        <v>871</v>
      </c>
      <c r="D526" s="43" t="s">
        <v>872</v>
      </c>
      <c r="E526" s="50" t="s">
        <v>873</v>
      </c>
      <c r="F526" s="36" t="s">
        <v>874</v>
      </c>
      <c r="G526" s="51">
        <v>859030</v>
      </c>
      <c r="H526" s="51">
        <v>53446.11</v>
      </c>
      <c r="I526" s="36" t="s">
        <v>875</v>
      </c>
      <c r="J526" s="34" t="s">
        <v>876</v>
      </c>
      <c r="K526" s="37" t="s">
        <v>839</v>
      </c>
      <c r="L526" s="38">
        <v>40847</v>
      </c>
      <c r="M526" s="39">
        <f>L526+180</f>
        <v>41027</v>
      </c>
      <c r="N526" s="42">
        <v>898256.7</v>
      </c>
      <c r="O526" s="74" t="s">
        <v>38</v>
      </c>
      <c r="P526" s="39">
        <f>M526+1080</f>
        <v>42107</v>
      </c>
      <c r="Q526" s="41"/>
      <c r="R526" s="51">
        <f t="shared" si="24"/>
        <v>898256.7</v>
      </c>
      <c r="S526" s="51"/>
      <c r="T526" s="52" t="s">
        <v>52</v>
      </c>
      <c r="U526" s="51">
        <v>507728.29</v>
      </c>
      <c r="V526" s="51" t="s">
        <v>38</v>
      </c>
      <c r="W526" s="42"/>
      <c r="X526" s="42">
        <v>507728.29</v>
      </c>
      <c r="Y526" s="34" t="s">
        <v>2915</v>
      </c>
      <c r="Z526" s="34"/>
      <c r="AA526" s="28" t="s">
        <v>8441</v>
      </c>
      <c r="AB526" s="56">
        <v>43413</v>
      </c>
      <c r="AC526" s="28" t="s">
        <v>7496</v>
      </c>
      <c r="AD526" s="28" t="s">
        <v>7497</v>
      </c>
      <c r="AE526" s="54" t="s">
        <v>7498</v>
      </c>
      <c r="AF526" s="54"/>
      <c r="AG526" s="54" t="s">
        <v>7500</v>
      </c>
      <c r="AH526" s="53" t="s">
        <v>1591</v>
      </c>
      <c r="AI526" s="53" t="s">
        <v>2686</v>
      </c>
      <c r="AJ526" s="53" t="s">
        <v>1591</v>
      </c>
    </row>
    <row r="527" spans="1:36" s="3" customFormat="1" ht="48" x14ac:dyDescent="0.25">
      <c r="A527" s="17" t="s">
        <v>863</v>
      </c>
      <c r="B527" s="18" t="s">
        <v>37</v>
      </c>
      <c r="C527" s="19" t="s">
        <v>864</v>
      </c>
      <c r="D527" s="45" t="s">
        <v>865</v>
      </c>
      <c r="E527" s="50" t="s">
        <v>866</v>
      </c>
      <c r="F527" s="58" t="s">
        <v>867</v>
      </c>
      <c r="G527" s="51">
        <v>747954.64</v>
      </c>
      <c r="H527" s="51"/>
      <c r="I527" s="50" t="s">
        <v>868</v>
      </c>
      <c r="J527" s="58" t="s">
        <v>869</v>
      </c>
      <c r="K527" s="52" t="s">
        <v>839</v>
      </c>
      <c r="L527" s="59">
        <v>40920</v>
      </c>
      <c r="M527" s="60">
        <f>L527+210</f>
        <v>41130</v>
      </c>
      <c r="N527" s="51">
        <v>884724.09</v>
      </c>
      <c r="O527" s="59" t="s">
        <v>38</v>
      </c>
      <c r="P527" s="59">
        <v>0</v>
      </c>
      <c r="Q527" s="51"/>
      <c r="R527" s="51">
        <f t="shared" si="24"/>
        <v>884724.09</v>
      </c>
      <c r="S527" s="51"/>
      <c r="T527" s="52" t="s">
        <v>52</v>
      </c>
      <c r="U527" s="51">
        <v>442999.98</v>
      </c>
      <c r="V527" s="51" t="s">
        <v>870</v>
      </c>
      <c r="W527" s="51"/>
      <c r="X527" s="51">
        <v>442999.98</v>
      </c>
      <c r="Y527" s="19" t="s">
        <v>2915</v>
      </c>
      <c r="Z527" s="19"/>
      <c r="AA527" s="28" t="s">
        <v>8441</v>
      </c>
      <c r="AB527" s="56">
        <v>43413</v>
      </c>
      <c r="AC527" s="28" t="s">
        <v>7496</v>
      </c>
      <c r="AD527" s="28" t="s">
        <v>7497</v>
      </c>
      <c r="AE527" s="54" t="s">
        <v>7498</v>
      </c>
      <c r="AF527" s="54"/>
      <c r="AG527" s="54" t="s">
        <v>7501</v>
      </c>
      <c r="AH527" s="53" t="s">
        <v>1591</v>
      </c>
      <c r="AI527" s="53" t="s">
        <v>2686</v>
      </c>
      <c r="AJ527" s="53" t="s">
        <v>1591</v>
      </c>
    </row>
    <row r="528" spans="1:36" s="3" customFormat="1" ht="48" x14ac:dyDescent="0.25">
      <c r="A528" s="17" t="s">
        <v>863</v>
      </c>
      <c r="B528" s="18" t="s">
        <v>37</v>
      </c>
      <c r="C528" s="19" t="s">
        <v>877</v>
      </c>
      <c r="D528" s="45" t="s">
        <v>878</v>
      </c>
      <c r="E528" s="50" t="s">
        <v>879</v>
      </c>
      <c r="F528" s="58" t="s">
        <v>350</v>
      </c>
      <c r="G528" s="51">
        <v>633750</v>
      </c>
      <c r="H528" s="51">
        <v>28414.48</v>
      </c>
      <c r="I528" s="50" t="s">
        <v>875</v>
      </c>
      <c r="J528" s="58" t="s">
        <v>876</v>
      </c>
      <c r="K528" s="52" t="s">
        <v>839</v>
      </c>
      <c r="L528" s="59">
        <v>40847</v>
      </c>
      <c r="M528" s="60">
        <f>L528+180</f>
        <v>41027</v>
      </c>
      <c r="N528" s="51">
        <v>651333.31999999995</v>
      </c>
      <c r="O528" s="59" t="s">
        <v>38</v>
      </c>
      <c r="P528" s="59">
        <f>M528+1080</f>
        <v>42107</v>
      </c>
      <c r="Q528" s="51"/>
      <c r="R528" s="51">
        <f t="shared" si="24"/>
        <v>651333.31999999995</v>
      </c>
      <c r="S528" s="51"/>
      <c r="T528" s="52" t="s">
        <v>52</v>
      </c>
      <c r="U528" s="51">
        <v>480122.33</v>
      </c>
      <c r="V528" s="51" t="s">
        <v>38</v>
      </c>
      <c r="W528" s="51"/>
      <c r="X528" s="51">
        <v>480122.33</v>
      </c>
      <c r="Y528" s="19" t="s">
        <v>2915</v>
      </c>
      <c r="Z528" s="19"/>
      <c r="AA528" s="28" t="s">
        <v>8441</v>
      </c>
      <c r="AB528" s="56">
        <v>43413</v>
      </c>
      <c r="AC528" s="28" t="s">
        <v>7496</v>
      </c>
      <c r="AD528" s="28" t="s">
        <v>7497</v>
      </c>
      <c r="AE528" s="54" t="s">
        <v>7498</v>
      </c>
      <c r="AF528" s="54"/>
      <c r="AG528" s="54" t="s">
        <v>7500</v>
      </c>
      <c r="AH528" s="53" t="s">
        <v>1591</v>
      </c>
      <c r="AI528" s="53" t="s">
        <v>2686</v>
      </c>
      <c r="AJ528" s="53" t="s">
        <v>1591</v>
      </c>
    </row>
    <row r="529" spans="1:36" s="3" customFormat="1" ht="72" x14ac:dyDescent="0.25">
      <c r="A529" s="35" t="s">
        <v>2852</v>
      </c>
      <c r="B529" s="18" t="s">
        <v>37</v>
      </c>
      <c r="C529" s="19" t="s">
        <v>3407</v>
      </c>
      <c r="D529" s="45" t="s">
        <v>3408</v>
      </c>
      <c r="E529" s="50"/>
      <c r="F529" s="58" t="s">
        <v>1468</v>
      </c>
      <c r="G529" s="51"/>
      <c r="H529" s="51"/>
      <c r="I529" s="50" t="s">
        <v>1216</v>
      </c>
      <c r="J529" s="58" t="s">
        <v>3691</v>
      </c>
      <c r="K529" s="52" t="s">
        <v>3126</v>
      </c>
      <c r="L529" s="59">
        <v>42776</v>
      </c>
      <c r="M529" s="60">
        <f>L529+90</f>
        <v>42866</v>
      </c>
      <c r="N529" s="51">
        <v>140300.60999999999</v>
      </c>
      <c r="O529" s="59">
        <v>42866</v>
      </c>
      <c r="P529" s="59">
        <v>0</v>
      </c>
      <c r="Q529" s="51"/>
      <c r="R529" s="51">
        <f t="shared" si="24"/>
        <v>140300.60999999999</v>
      </c>
      <c r="S529" s="51"/>
      <c r="T529" s="52">
        <v>44905100</v>
      </c>
      <c r="U529" s="51">
        <v>71867.88</v>
      </c>
      <c r="V529" s="51"/>
      <c r="W529" s="51">
        <v>71867.88</v>
      </c>
      <c r="X529" s="51">
        <v>71867.88</v>
      </c>
      <c r="Y529" s="19" t="s">
        <v>3923</v>
      </c>
      <c r="Z529" s="19"/>
      <c r="AA529" s="28"/>
      <c r="AB529" s="56"/>
      <c r="AC529" s="28"/>
      <c r="AD529" s="28"/>
      <c r="AE529" s="54"/>
      <c r="AF529" s="54"/>
      <c r="AG529" s="54"/>
      <c r="AH529" s="53"/>
      <c r="AI529" s="53" t="s">
        <v>1591</v>
      </c>
      <c r="AJ529" s="53" t="s">
        <v>1591</v>
      </c>
    </row>
    <row r="530" spans="1:36" s="3" customFormat="1" ht="216" x14ac:dyDescent="0.25">
      <c r="A530" s="17" t="s">
        <v>891</v>
      </c>
      <c r="B530" s="18" t="s">
        <v>37</v>
      </c>
      <c r="C530" s="76" t="s">
        <v>894</v>
      </c>
      <c r="D530" s="45" t="s">
        <v>4511</v>
      </c>
      <c r="E530" s="78"/>
      <c r="F530" s="79" t="s">
        <v>4512</v>
      </c>
      <c r="G530" s="80">
        <v>1010815.34</v>
      </c>
      <c r="H530" s="80"/>
      <c r="I530" s="78" t="s">
        <v>4513</v>
      </c>
      <c r="J530" s="79" t="s">
        <v>4514</v>
      </c>
      <c r="K530" s="81"/>
      <c r="L530" s="82">
        <v>41852</v>
      </c>
      <c r="M530" s="83">
        <v>42032</v>
      </c>
      <c r="N530" s="80">
        <v>1010815.34</v>
      </c>
      <c r="O530" s="82">
        <v>42036</v>
      </c>
      <c r="P530" s="84" t="s">
        <v>4455</v>
      </c>
      <c r="Q530" s="80">
        <v>0</v>
      </c>
      <c r="R530" s="80">
        <v>1010815.34</v>
      </c>
      <c r="S530" s="80"/>
      <c r="T530" s="81" t="s">
        <v>895</v>
      </c>
      <c r="U530" s="80">
        <v>683528.88</v>
      </c>
      <c r="V530" s="80"/>
      <c r="W530" s="80"/>
      <c r="X530" s="80">
        <v>782607.95</v>
      </c>
      <c r="Y530" s="76" t="s">
        <v>142</v>
      </c>
      <c r="Z530" s="19" t="s">
        <v>7038</v>
      </c>
      <c r="AA530" s="28" t="s">
        <v>8459</v>
      </c>
      <c r="AB530" s="56">
        <v>43425</v>
      </c>
      <c r="AC530" s="28" t="s">
        <v>7502</v>
      </c>
      <c r="AD530" s="28" t="s">
        <v>7503</v>
      </c>
      <c r="AE530" s="54" t="s">
        <v>7504</v>
      </c>
      <c r="AF530" s="54"/>
      <c r="AG530" s="54" t="s">
        <v>7505</v>
      </c>
      <c r="AH530" s="53" t="s">
        <v>1591</v>
      </c>
      <c r="AI530" s="53" t="s">
        <v>2686</v>
      </c>
      <c r="AJ530" s="53" t="s">
        <v>1591</v>
      </c>
    </row>
    <row r="531" spans="1:36" s="3" customFormat="1" ht="72" x14ac:dyDescent="0.25">
      <c r="A531" s="35" t="s">
        <v>891</v>
      </c>
      <c r="B531" s="18" t="s">
        <v>37</v>
      </c>
      <c r="C531" s="19"/>
      <c r="D531" s="45" t="s">
        <v>3411</v>
      </c>
      <c r="E531" s="50"/>
      <c r="F531" s="58"/>
      <c r="G531" s="51"/>
      <c r="H531" s="51"/>
      <c r="I531" s="50" t="s">
        <v>3694</v>
      </c>
      <c r="J531" s="58" t="s">
        <v>3695</v>
      </c>
      <c r="K531" s="52"/>
      <c r="L531" s="59"/>
      <c r="M531" s="60"/>
      <c r="N531" s="51"/>
      <c r="O531" s="59"/>
      <c r="P531" s="59">
        <v>0</v>
      </c>
      <c r="Q531" s="51"/>
      <c r="R531" s="51">
        <f>N531+Q531</f>
        <v>0</v>
      </c>
      <c r="S531" s="51"/>
      <c r="T531" s="52">
        <v>339039</v>
      </c>
      <c r="U531" s="51">
        <v>5971</v>
      </c>
      <c r="V531" s="51">
        <v>5971</v>
      </c>
      <c r="W531" s="51">
        <v>5971</v>
      </c>
      <c r="X531" s="51">
        <v>5971</v>
      </c>
      <c r="Y531" s="19" t="s">
        <v>468</v>
      </c>
      <c r="Z531" s="19" t="s">
        <v>4307</v>
      </c>
      <c r="AA531" s="28" t="s">
        <v>8459</v>
      </c>
      <c r="AB531" s="56">
        <v>43425</v>
      </c>
      <c r="AC531" s="28" t="s">
        <v>7502</v>
      </c>
      <c r="AD531" s="28" t="s">
        <v>7503</v>
      </c>
      <c r="AE531" s="54" t="s">
        <v>7506</v>
      </c>
      <c r="AF531" s="54"/>
      <c r="AG531" s="54" t="s">
        <v>7507</v>
      </c>
      <c r="AH531" s="53" t="s">
        <v>1591</v>
      </c>
      <c r="AI531" s="53" t="s">
        <v>2686</v>
      </c>
      <c r="AJ531" s="53" t="s">
        <v>1591</v>
      </c>
    </row>
    <row r="532" spans="1:36" s="3" customFormat="1" ht="72" x14ac:dyDescent="0.25">
      <c r="A532" s="35" t="s">
        <v>891</v>
      </c>
      <c r="B532" s="18" t="s">
        <v>37</v>
      </c>
      <c r="C532" s="19" t="s">
        <v>3409</v>
      </c>
      <c r="D532" s="45" t="s">
        <v>3410</v>
      </c>
      <c r="E532" s="50"/>
      <c r="F532" s="58"/>
      <c r="G532" s="51"/>
      <c r="H532" s="51"/>
      <c r="I532" s="50" t="s">
        <v>3692</v>
      </c>
      <c r="J532" s="58" t="s">
        <v>3693</v>
      </c>
      <c r="K532" s="52"/>
      <c r="L532" s="59">
        <v>42853</v>
      </c>
      <c r="M532" s="60">
        <f>L532+240</f>
        <v>43093</v>
      </c>
      <c r="N532" s="51"/>
      <c r="O532" s="59">
        <v>43100</v>
      </c>
      <c r="P532" s="59">
        <v>0</v>
      </c>
      <c r="Q532" s="51"/>
      <c r="R532" s="51">
        <f>N532+Q532</f>
        <v>0</v>
      </c>
      <c r="S532" s="51"/>
      <c r="T532" s="52">
        <v>339039</v>
      </c>
      <c r="U532" s="51">
        <v>97778.75</v>
      </c>
      <c r="V532" s="51">
        <v>97778.75</v>
      </c>
      <c r="W532" s="51">
        <v>97778.75</v>
      </c>
      <c r="X532" s="51">
        <v>97778.75</v>
      </c>
      <c r="Y532" s="19" t="s">
        <v>468</v>
      </c>
      <c r="Z532" s="19" t="s">
        <v>4307</v>
      </c>
      <c r="AA532" s="28" t="s">
        <v>8459</v>
      </c>
      <c r="AB532" s="56">
        <v>43425</v>
      </c>
      <c r="AC532" s="28" t="s">
        <v>7502</v>
      </c>
      <c r="AD532" s="28" t="s">
        <v>7503</v>
      </c>
      <c r="AE532" s="54" t="s">
        <v>7508</v>
      </c>
      <c r="AF532" s="54"/>
      <c r="AG532" s="54" t="s">
        <v>7509</v>
      </c>
      <c r="AH532" s="53" t="s">
        <v>1591</v>
      </c>
      <c r="AI532" s="53" t="s">
        <v>2686</v>
      </c>
      <c r="AJ532" s="53" t="s">
        <v>1591</v>
      </c>
    </row>
    <row r="533" spans="1:36" s="3" customFormat="1" ht="60" x14ac:dyDescent="0.25">
      <c r="A533" s="17" t="s">
        <v>896</v>
      </c>
      <c r="B533" s="18" t="s">
        <v>37</v>
      </c>
      <c r="C533" s="76" t="s">
        <v>4516</v>
      </c>
      <c r="D533" s="45" t="s">
        <v>4517</v>
      </c>
      <c r="E533" s="78" t="s">
        <v>897</v>
      </c>
      <c r="F533" s="79" t="s">
        <v>43</v>
      </c>
      <c r="G533" s="80">
        <v>507313.59</v>
      </c>
      <c r="H533" s="80"/>
      <c r="I533" s="78" t="s">
        <v>4518</v>
      </c>
      <c r="J533" s="79" t="s">
        <v>4519</v>
      </c>
      <c r="K533" s="81"/>
      <c r="L533" s="82">
        <v>41792</v>
      </c>
      <c r="M533" s="83">
        <v>41972</v>
      </c>
      <c r="N533" s="80">
        <v>504443.07</v>
      </c>
      <c r="O533" s="82">
        <v>41975</v>
      </c>
      <c r="P533" s="84" t="s">
        <v>4457</v>
      </c>
      <c r="Q533" s="80">
        <v>0</v>
      </c>
      <c r="R533" s="80">
        <v>504443.07</v>
      </c>
      <c r="S533" s="80"/>
      <c r="T533" s="81" t="s">
        <v>52</v>
      </c>
      <c r="U533" s="80">
        <v>504443.07</v>
      </c>
      <c r="V533" s="80"/>
      <c r="W533" s="80"/>
      <c r="X533" s="80">
        <v>504443.07</v>
      </c>
      <c r="Y533" s="76" t="s">
        <v>157</v>
      </c>
      <c r="Z533" s="19" t="s">
        <v>7038</v>
      </c>
      <c r="AA533" s="28" t="s">
        <v>7510</v>
      </c>
      <c r="AB533" s="56">
        <v>43423</v>
      </c>
      <c r="AC533" s="28" t="s">
        <v>7511</v>
      </c>
      <c r="AD533" s="28" t="s">
        <v>7512</v>
      </c>
      <c r="AE533" s="54" t="s">
        <v>7513</v>
      </c>
      <c r="AF533" s="54"/>
      <c r="AG533" s="54" t="s">
        <v>7514</v>
      </c>
      <c r="AH533" s="53" t="s">
        <v>1591</v>
      </c>
      <c r="AI533" s="53" t="s">
        <v>2686</v>
      </c>
      <c r="AJ533" s="53" t="s">
        <v>1591</v>
      </c>
    </row>
    <row r="534" spans="1:36" s="3" customFormat="1" ht="60" x14ac:dyDescent="0.25">
      <c r="A534" s="17" t="s">
        <v>896</v>
      </c>
      <c r="B534" s="18" t="s">
        <v>37</v>
      </c>
      <c r="C534" s="76" t="s">
        <v>4522</v>
      </c>
      <c r="D534" s="45" t="s">
        <v>4523</v>
      </c>
      <c r="E534" s="78" t="s">
        <v>4524</v>
      </c>
      <c r="F534" s="79" t="s">
        <v>661</v>
      </c>
      <c r="G534" s="80">
        <v>99955.59</v>
      </c>
      <c r="H534" s="80"/>
      <c r="I534" s="78" t="s">
        <v>898</v>
      </c>
      <c r="J534" s="79" t="s">
        <v>899</v>
      </c>
      <c r="K534" s="81"/>
      <c r="L534" s="82">
        <v>41836</v>
      </c>
      <c r="M534" s="83">
        <v>41926</v>
      </c>
      <c r="N534" s="80">
        <v>99794.83</v>
      </c>
      <c r="O534" s="82">
        <v>41928</v>
      </c>
      <c r="P534" s="84" t="s">
        <v>4457</v>
      </c>
      <c r="Q534" s="80">
        <v>0</v>
      </c>
      <c r="R534" s="80">
        <v>99794.83</v>
      </c>
      <c r="S534" s="80"/>
      <c r="T534" s="81" t="s">
        <v>52</v>
      </c>
      <c r="U534" s="80">
        <v>99794.83</v>
      </c>
      <c r="V534" s="80"/>
      <c r="W534" s="80"/>
      <c r="X534" s="80">
        <v>99794.83</v>
      </c>
      <c r="Y534" s="76" t="s">
        <v>157</v>
      </c>
      <c r="Z534" s="19" t="s">
        <v>7038</v>
      </c>
      <c r="AA534" s="28" t="s">
        <v>7510</v>
      </c>
      <c r="AB534" s="56">
        <v>43423</v>
      </c>
      <c r="AC534" s="28" t="s">
        <v>7511</v>
      </c>
      <c r="AD534" s="28" t="s">
        <v>7512</v>
      </c>
      <c r="AE534" s="54" t="s">
        <v>7515</v>
      </c>
      <c r="AF534" s="54"/>
      <c r="AG534" s="54" t="s">
        <v>7516</v>
      </c>
      <c r="AH534" s="53" t="s">
        <v>1591</v>
      </c>
      <c r="AI534" s="53" t="s">
        <v>2686</v>
      </c>
      <c r="AJ534" s="53" t="s">
        <v>1591</v>
      </c>
    </row>
    <row r="535" spans="1:36" s="3" customFormat="1" ht="60" x14ac:dyDescent="0.25">
      <c r="A535" s="17" t="s">
        <v>896</v>
      </c>
      <c r="B535" s="18" t="s">
        <v>37</v>
      </c>
      <c r="C535" s="76" t="s">
        <v>4525</v>
      </c>
      <c r="D535" s="45" t="s">
        <v>4526</v>
      </c>
      <c r="E535" s="78" t="s">
        <v>4524</v>
      </c>
      <c r="F535" s="79" t="s">
        <v>661</v>
      </c>
      <c r="G535" s="80">
        <v>63112.79</v>
      </c>
      <c r="H535" s="80"/>
      <c r="I535" s="78" t="s">
        <v>900</v>
      </c>
      <c r="J535" s="79" t="s">
        <v>4520</v>
      </c>
      <c r="K535" s="81"/>
      <c r="L535" s="82">
        <v>41920</v>
      </c>
      <c r="M535" s="83">
        <v>42010</v>
      </c>
      <c r="N535" s="80">
        <v>63112.79</v>
      </c>
      <c r="O535" s="82">
        <v>42012</v>
      </c>
      <c r="P535" s="84" t="s">
        <v>4527</v>
      </c>
      <c r="Q535" s="80">
        <v>0</v>
      </c>
      <c r="R535" s="80">
        <v>63112.79</v>
      </c>
      <c r="S535" s="80"/>
      <c r="T535" s="81" t="s">
        <v>52</v>
      </c>
      <c r="U535" s="80">
        <v>63112.79</v>
      </c>
      <c r="V535" s="80"/>
      <c r="W535" s="80"/>
      <c r="X535" s="80">
        <v>63112.79</v>
      </c>
      <c r="Y535" s="76" t="s">
        <v>157</v>
      </c>
      <c r="Z535" s="19" t="s">
        <v>7038</v>
      </c>
      <c r="AA535" s="28" t="s">
        <v>7510</v>
      </c>
      <c r="AB535" s="56">
        <v>43423</v>
      </c>
      <c r="AC535" s="28" t="s">
        <v>7511</v>
      </c>
      <c r="AD535" s="28" t="s">
        <v>7512</v>
      </c>
      <c r="AE535" s="54" t="s">
        <v>7517</v>
      </c>
      <c r="AF535" s="54"/>
      <c r="AG535" s="54" t="s">
        <v>7516</v>
      </c>
      <c r="AH535" s="53" t="s">
        <v>1591</v>
      </c>
      <c r="AI535" s="53" t="s">
        <v>2686</v>
      </c>
      <c r="AJ535" s="53" t="s">
        <v>1591</v>
      </c>
    </row>
    <row r="536" spans="1:36" s="3" customFormat="1" ht="24" x14ac:dyDescent="0.25">
      <c r="A536" s="17" t="s">
        <v>896</v>
      </c>
      <c r="B536" s="18" t="s">
        <v>37</v>
      </c>
      <c r="C536" s="19"/>
      <c r="D536" s="45" t="s">
        <v>3428</v>
      </c>
      <c r="E536" s="50"/>
      <c r="F536" s="58"/>
      <c r="G536" s="51"/>
      <c r="H536" s="51"/>
      <c r="I536" s="50" t="s">
        <v>977</v>
      </c>
      <c r="J536" s="58" t="s">
        <v>1545</v>
      </c>
      <c r="K536" s="52"/>
      <c r="L536" s="59"/>
      <c r="M536" s="60"/>
      <c r="N536" s="51"/>
      <c r="O536" s="59"/>
      <c r="P536" s="59">
        <v>0</v>
      </c>
      <c r="Q536" s="51"/>
      <c r="R536" s="51">
        <f t="shared" ref="R536:R554" si="25">N536+Q536</f>
        <v>0</v>
      </c>
      <c r="S536" s="51"/>
      <c r="T536" s="52" t="s">
        <v>1033</v>
      </c>
      <c r="U536" s="51"/>
      <c r="V536" s="51">
        <v>14380</v>
      </c>
      <c r="W536" s="51">
        <v>14380</v>
      </c>
      <c r="X536" s="51">
        <v>14380</v>
      </c>
      <c r="Y536" s="19" t="s">
        <v>468</v>
      </c>
      <c r="Z536" s="19" t="s">
        <v>4307</v>
      </c>
      <c r="AA536" s="28" t="s">
        <v>7510</v>
      </c>
      <c r="AB536" s="56">
        <v>43423</v>
      </c>
      <c r="AC536" s="28" t="s">
        <v>7511</v>
      </c>
      <c r="AD536" s="28" t="s">
        <v>7512</v>
      </c>
      <c r="AE536" s="54" t="s">
        <v>7518</v>
      </c>
      <c r="AF536" s="54"/>
      <c r="AG536" s="54"/>
      <c r="AH536" s="53" t="s">
        <v>1591</v>
      </c>
      <c r="AI536" s="53" t="s">
        <v>2686</v>
      </c>
      <c r="AJ536" s="53" t="s">
        <v>1591</v>
      </c>
    </row>
    <row r="537" spans="1:36" s="3" customFormat="1" ht="36" x14ac:dyDescent="0.25">
      <c r="A537" s="17" t="s">
        <v>896</v>
      </c>
      <c r="B537" s="18" t="s">
        <v>37</v>
      </c>
      <c r="C537" s="19" t="s">
        <v>673</v>
      </c>
      <c r="D537" s="43" t="s">
        <v>3415</v>
      </c>
      <c r="E537" s="50"/>
      <c r="F537" s="36"/>
      <c r="G537" s="51"/>
      <c r="H537" s="51"/>
      <c r="I537" s="36" t="s">
        <v>3700</v>
      </c>
      <c r="J537" s="34" t="s">
        <v>3701</v>
      </c>
      <c r="K537" s="37"/>
      <c r="L537" s="38"/>
      <c r="M537" s="39"/>
      <c r="N537" s="42"/>
      <c r="O537" s="74"/>
      <c r="P537" s="39">
        <v>0</v>
      </c>
      <c r="Q537" s="41"/>
      <c r="R537" s="51">
        <f t="shared" si="25"/>
        <v>0</v>
      </c>
      <c r="S537" s="51"/>
      <c r="T537" s="52" t="s">
        <v>3924</v>
      </c>
      <c r="U537" s="51">
        <v>3502.8</v>
      </c>
      <c r="V537" s="51">
        <v>3502.8</v>
      </c>
      <c r="W537" s="42">
        <v>3502.8</v>
      </c>
      <c r="X537" s="42">
        <v>3502.8</v>
      </c>
      <c r="Y537" s="34" t="s">
        <v>844</v>
      </c>
      <c r="Z537" s="19" t="s">
        <v>4307</v>
      </c>
      <c r="AA537" s="28" t="s">
        <v>7510</v>
      </c>
      <c r="AB537" s="56">
        <v>43423</v>
      </c>
      <c r="AC537" s="28" t="s">
        <v>7511</v>
      </c>
      <c r="AD537" s="28" t="s">
        <v>7512</v>
      </c>
      <c r="AE537" s="54" t="s">
        <v>7518</v>
      </c>
      <c r="AF537" s="54"/>
      <c r="AG537" s="54"/>
      <c r="AH537" s="53" t="s">
        <v>1591</v>
      </c>
      <c r="AI537" s="53" t="s">
        <v>2686</v>
      </c>
      <c r="AJ537" s="53" t="s">
        <v>1591</v>
      </c>
    </row>
    <row r="538" spans="1:36" s="3" customFormat="1" ht="24" x14ac:dyDescent="0.25">
      <c r="A538" s="17" t="s">
        <v>896</v>
      </c>
      <c r="B538" s="18" t="s">
        <v>37</v>
      </c>
      <c r="C538" s="19" t="s">
        <v>673</v>
      </c>
      <c r="D538" s="43" t="s">
        <v>3413</v>
      </c>
      <c r="E538" s="50"/>
      <c r="F538" s="36"/>
      <c r="G538" s="51"/>
      <c r="H538" s="51"/>
      <c r="I538" s="36" t="s">
        <v>3696</v>
      </c>
      <c r="J538" s="34" t="s">
        <v>3697</v>
      </c>
      <c r="K538" s="37"/>
      <c r="L538" s="38"/>
      <c r="M538" s="39"/>
      <c r="N538" s="42"/>
      <c r="O538" s="74"/>
      <c r="P538" s="39">
        <v>0</v>
      </c>
      <c r="Q538" s="41"/>
      <c r="R538" s="51">
        <f t="shared" si="25"/>
        <v>0</v>
      </c>
      <c r="S538" s="51"/>
      <c r="T538" s="52" t="s">
        <v>2060</v>
      </c>
      <c r="U538" s="51">
        <v>2200</v>
      </c>
      <c r="V538" s="51">
        <v>2200</v>
      </c>
      <c r="W538" s="42">
        <v>2200</v>
      </c>
      <c r="X538" s="42">
        <v>2200</v>
      </c>
      <c r="Y538" s="34" t="s">
        <v>844</v>
      </c>
      <c r="Z538" s="19" t="s">
        <v>4307</v>
      </c>
      <c r="AA538" s="28" t="s">
        <v>7510</v>
      </c>
      <c r="AB538" s="56">
        <v>43423</v>
      </c>
      <c r="AC538" s="28" t="s">
        <v>7511</v>
      </c>
      <c r="AD538" s="28" t="s">
        <v>7512</v>
      </c>
      <c r="AE538" s="54" t="s">
        <v>7518</v>
      </c>
      <c r="AF538" s="54"/>
      <c r="AG538" s="54"/>
      <c r="AH538" s="53" t="s">
        <v>1591</v>
      </c>
      <c r="AI538" s="53" t="s">
        <v>2686</v>
      </c>
      <c r="AJ538" s="53" t="s">
        <v>1591</v>
      </c>
    </row>
    <row r="539" spans="1:36" s="3" customFormat="1" ht="24" x14ac:dyDescent="0.25">
      <c r="A539" s="17" t="s">
        <v>896</v>
      </c>
      <c r="B539" s="18" t="s">
        <v>37</v>
      </c>
      <c r="C539" s="19" t="s">
        <v>673</v>
      </c>
      <c r="D539" s="43" t="s">
        <v>3416</v>
      </c>
      <c r="E539" s="50"/>
      <c r="F539" s="36"/>
      <c r="G539" s="51"/>
      <c r="H539" s="51"/>
      <c r="I539" s="36" t="s">
        <v>3702</v>
      </c>
      <c r="J539" s="34" t="s">
        <v>3703</v>
      </c>
      <c r="K539" s="37"/>
      <c r="L539" s="38"/>
      <c r="M539" s="39"/>
      <c r="N539" s="42"/>
      <c r="O539" s="74"/>
      <c r="P539" s="39">
        <v>0</v>
      </c>
      <c r="Q539" s="41"/>
      <c r="R539" s="51">
        <f t="shared" si="25"/>
        <v>0</v>
      </c>
      <c r="S539" s="51"/>
      <c r="T539" s="52" t="s">
        <v>2060</v>
      </c>
      <c r="U539" s="51">
        <v>2500</v>
      </c>
      <c r="V539" s="51">
        <v>2500</v>
      </c>
      <c r="W539" s="42">
        <v>2500</v>
      </c>
      <c r="X539" s="42">
        <v>2500</v>
      </c>
      <c r="Y539" s="34" t="s">
        <v>844</v>
      </c>
      <c r="Z539" s="19" t="s">
        <v>4307</v>
      </c>
      <c r="AA539" s="28" t="s">
        <v>7510</v>
      </c>
      <c r="AB539" s="56">
        <v>43423</v>
      </c>
      <c r="AC539" s="28" t="s">
        <v>7511</v>
      </c>
      <c r="AD539" s="28" t="s">
        <v>7512</v>
      </c>
      <c r="AE539" s="54" t="s">
        <v>7518</v>
      </c>
      <c r="AF539" s="54"/>
      <c r="AG539" s="54"/>
      <c r="AH539" s="53" t="s">
        <v>1591</v>
      </c>
      <c r="AI539" s="53" t="s">
        <v>2686</v>
      </c>
      <c r="AJ539" s="53" t="s">
        <v>1591</v>
      </c>
    </row>
    <row r="540" spans="1:36" s="3" customFormat="1" ht="24" x14ac:dyDescent="0.25">
      <c r="A540" s="17" t="s">
        <v>896</v>
      </c>
      <c r="B540" s="18" t="s">
        <v>37</v>
      </c>
      <c r="C540" s="19" t="s">
        <v>673</v>
      </c>
      <c r="D540" s="43" t="s">
        <v>3423</v>
      </c>
      <c r="E540" s="50"/>
      <c r="F540" s="36"/>
      <c r="G540" s="51"/>
      <c r="H540" s="51"/>
      <c r="I540" s="36" t="s">
        <v>3711</v>
      </c>
      <c r="J540" s="34" t="s">
        <v>3712</v>
      </c>
      <c r="K540" s="37"/>
      <c r="L540" s="38"/>
      <c r="M540" s="39"/>
      <c r="N540" s="42"/>
      <c r="O540" s="74"/>
      <c r="P540" s="39">
        <v>0</v>
      </c>
      <c r="Q540" s="41"/>
      <c r="R540" s="51">
        <f t="shared" si="25"/>
        <v>0</v>
      </c>
      <c r="S540" s="51"/>
      <c r="T540" s="52" t="s">
        <v>3925</v>
      </c>
      <c r="U540" s="51">
        <v>2730</v>
      </c>
      <c r="V540" s="51">
        <v>2730</v>
      </c>
      <c r="W540" s="42">
        <v>2730</v>
      </c>
      <c r="X540" s="42">
        <v>2730</v>
      </c>
      <c r="Y540" s="34" t="s">
        <v>844</v>
      </c>
      <c r="Z540" s="19" t="s">
        <v>4307</v>
      </c>
      <c r="AA540" s="28" t="s">
        <v>7510</v>
      </c>
      <c r="AB540" s="56">
        <v>43423</v>
      </c>
      <c r="AC540" s="28" t="s">
        <v>7511</v>
      </c>
      <c r="AD540" s="28" t="s">
        <v>7512</v>
      </c>
      <c r="AE540" s="54" t="s">
        <v>7518</v>
      </c>
      <c r="AF540" s="54"/>
      <c r="AG540" s="54"/>
      <c r="AH540" s="53" t="s">
        <v>1591</v>
      </c>
      <c r="AI540" s="53" t="s">
        <v>2686</v>
      </c>
      <c r="AJ540" s="53" t="s">
        <v>1591</v>
      </c>
    </row>
    <row r="541" spans="1:36" s="3" customFormat="1" ht="24" x14ac:dyDescent="0.25">
      <c r="A541" s="17" t="s">
        <v>896</v>
      </c>
      <c r="B541" s="18" t="s">
        <v>37</v>
      </c>
      <c r="C541" s="19" t="s">
        <v>673</v>
      </c>
      <c r="D541" s="43" t="s">
        <v>3412</v>
      </c>
      <c r="E541" s="50"/>
      <c r="F541" s="36"/>
      <c r="G541" s="51"/>
      <c r="H541" s="51"/>
      <c r="I541" s="36" t="s">
        <v>3696</v>
      </c>
      <c r="J541" s="34" t="s">
        <v>3697</v>
      </c>
      <c r="K541" s="37"/>
      <c r="L541" s="38"/>
      <c r="M541" s="39"/>
      <c r="N541" s="42"/>
      <c r="O541" s="74"/>
      <c r="P541" s="39">
        <v>0</v>
      </c>
      <c r="Q541" s="41"/>
      <c r="R541" s="51">
        <f t="shared" si="25"/>
        <v>0</v>
      </c>
      <c r="S541" s="51"/>
      <c r="T541" s="52" t="s">
        <v>2060</v>
      </c>
      <c r="U541" s="51">
        <v>4250</v>
      </c>
      <c r="V541" s="51">
        <v>4250</v>
      </c>
      <c r="W541" s="42">
        <v>4250</v>
      </c>
      <c r="X541" s="42">
        <v>4250</v>
      </c>
      <c r="Y541" s="34" t="s">
        <v>844</v>
      </c>
      <c r="Z541" s="19" t="s">
        <v>4307</v>
      </c>
      <c r="AA541" s="28" t="s">
        <v>7510</v>
      </c>
      <c r="AB541" s="56">
        <v>43423</v>
      </c>
      <c r="AC541" s="28" t="s">
        <v>7511</v>
      </c>
      <c r="AD541" s="28" t="s">
        <v>7512</v>
      </c>
      <c r="AE541" s="54" t="s">
        <v>7518</v>
      </c>
      <c r="AF541" s="54"/>
      <c r="AG541" s="54"/>
      <c r="AH541" s="53" t="s">
        <v>1591</v>
      </c>
      <c r="AI541" s="53" t="s">
        <v>2686</v>
      </c>
      <c r="AJ541" s="53" t="s">
        <v>1591</v>
      </c>
    </row>
    <row r="542" spans="1:36" s="3" customFormat="1" ht="24" x14ac:dyDescent="0.25">
      <c r="A542" s="17" t="s">
        <v>896</v>
      </c>
      <c r="B542" s="18" t="s">
        <v>37</v>
      </c>
      <c r="C542" s="19" t="s">
        <v>673</v>
      </c>
      <c r="D542" s="43" t="s">
        <v>3419</v>
      </c>
      <c r="E542" s="50"/>
      <c r="F542" s="36"/>
      <c r="G542" s="51"/>
      <c r="H542" s="51"/>
      <c r="I542" s="36" t="s">
        <v>3708</v>
      </c>
      <c r="J542" s="34" t="s">
        <v>3709</v>
      </c>
      <c r="K542" s="37"/>
      <c r="L542" s="38"/>
      <c r="M542" s="39"/>
      <c r="N542" s="42"/>
      <c r="O542" s="74"/>
      <c r="P542" s="39">
        <v>0</v>
      </c>
      <c r="Q542" s="41"/>
      <c r="R542" s="51">
        <f t="shared" si="25"/>
        <v>0</v>
      </c>
      <c r="S542" s="51"/>
      <c r="T542" s="52" t="s">
        <v>1826</v>
      </c>
      <c r="U542" s="51">
        <v>302.39999999999998</v>
      </c>
      <c r="V542" s="51">
        <v>302.39999999999998</v>
      </c>
      <c r="W542" s="42">
        <v>302.39999999999998</v>
      </c>
      <c r="X542" s="42">
        <v>302.39999999999998</v>
      </c>
      <c r="Y542" s="34" t="s">
        <v>844</v>
      </c>
      <c r="Z542" s="19" t="s">
        <v>4307</v>
      </c>
      <c r="AA542" s="28" t="s">
        <v>7510</v>
      </c>
      <c r="AB542" s="56">
        <v>43423</v>
      </c>
      <c r="AC542" s="28" t="s">
        <v>7511</v>
      </c>
      <c r="AD542" s="28" t="s">
        <v>7512</v>
      </c>
      <c r="AE542" s="54" t="s">
        <v>7518</v>
      </c>
      <c r="AF542" s="54"/>
      <c r="AG542" s="54"/>
      <c r="AH542" s="53" t="s">
        <v>1591</v>
      </c>
      <c r="AI542" s="53" t="s">
        <v>2686</v>
      </c>
      <c r="AJ542" s="53" t="s">
        <v>1591</v>
      </c>
    </row>
    <row r="543" spans="1:36" s="3" customFormat="1" ht="24" x14ac:dyDescent="0.25">
      <c r="A543" s="17" t="s">
        <v>896</v>
      </c>
      <c r="B543" s="18" t="s">
        <v>37</v>
      </c>
      <c r="C543" s="19" t="s">
        <v>673</v>
      </c>
      <c r="D543" s="43" t="s">
        <v>3421</v>
      </c>
      <c r="E543" s="50"/>
      <c r="F543" s="36"/>
      <c r="G543" s="51"/>
      <c r="H543" s="51"/>
      <c r="I543" s="36" t="s">
        <v>3702</v>
      </c>
      <c r="J543" s="34" t="s">
        <v>3703</v>
      </c>
      <c r="K543" s="37"/>
      <c r="L543" s="38"/>
      <c r="M543" s="39"/>
      <c r="N543" s="42"/>
      <c r="O543" s="74"/>
      <c r="P543" s="39">
        <v>0</v>
      </c>
      <c r="Q543" s="41"/>
      <c r="R543" s="51">
        <f t="shared" si="25"/>
        <v>0</v>
      </c>
      <c r="S543" s="51"/>
      <c r="T543" s="52" t="s">
        <v>3925</v>
      </c>
      <c r="U543" s="51">
        <v>1100</v>
      </c>
      <c r="V543" s="51">
        <v>1100</v>
      </c>
      <c r="W543" s="42">
        <v>1100</v>
      </c>
      <c r="X543" s="42">
        <v>1100</v>
      </c>
      <c r="Y543" s="34" t="s">
        <v>844</v>
      </c>
      <c r="Z543" s="19" t="s">
        <v>4307</v>
      </c>
      <c r="AA543" s="28" t="s">
        <v>7510</v>
      </c>
      <c r="AB543" s="56">
        <v>43423</v>
      </c>
      <c r="AC543" s="28" t="s">
        <v>7511</v>
      </c>
      <c r="AD543" s="28" t="s">
        <v>7512</v>
      </c>
      <c r="AE543" s="54" t="s">
        <v>7518</v>
      </c>
      <c r="AF543" s="54"/>
      <c r="AG543" s="54"/>
      <c r="AH543" s="53" t="s">
        <v>1591</v>
      </c>
      <c r="AI543" s="53" t="s">
        <v>2686</v>
      </c>
      <c r="AJ543" s="53" t="s">
        <v>1591</v>
      </c>
    </row>
    <row r="544" spans="1:36" s="3" customFormat="1" ht="24" x14ac:dyDescent="0.25">
      <c r="A544" s="17" t="s">
        <v>896</v>
      </c>
      <c r="B544" s="18" t="s">
        <v>37</v>
      </c>
      <c r="C544" s="19" t="s">
        <v>673</v>
      </c>
      <c r="D544" s="43" t="s">
        <v>3424</v>
      </c>
      <c r="E544" s="50"/>
      <c r="F544" s="36"/>
      <c r="G544" s="51"/>
      <c r="H544" s="51"/>
      <c r="I544" s="36" t="s">
        <v>3702</v>
      </c>
      <c r="J544" s="34" t="s">
        <v>3703</v>
      </c>
      <c r="K544" s="37"/>
      <c r="L544" s="38"/>
      <c r="M544" s="39"/>
      <c r="N544" s="42"/>
      <c r="O544" s="74"/>
      <c r="P544" s="39">
        <v>0</v>
      </c>
      <c r="Q544" s="41"/>
      <c r="R544" s="51">
        <f t="shared" si="25"/>
        <v>0</v>
      </c>
      <c r="S544" s="51"/>
      <c r="T544" s="52" t="s">
        <v>1595</v>
      </c>
      <c r="U544" s="51">
        <v>2640</v>
      </c>
      <c r="V544" s="51">
        <v>2640</v>
      </c>
      <c r="W544" s="42">
        <v>2640</v>
      </c>
      <c r="X544" s="42">
        <v>2640</v>
      </c>
      <c r="Y544" s="34" t="s">
        <v>844</v>
      </c>
      <c r="Z544" s="19" t="s">
        <v>4307</v>
      </c>
      <c r="AA544" s="28" t="s">
        <v>7510</v>
      </c>
      <c r="AB544" s="56">
        <v>43423</v>
      </c>
      <c r="AC544" s="28" t="s">
        <v>7511</v>
      </c>
      <c r="AD544" s="28" t="s">
        <v>7512</v>
      </c>
      <c r="AE544" s="54" t="s">
        <v>7518</v>
      </c>
      <c r="AF544" s="54"/>
      <c r="AG544" s="54"/>
      <c r="AH544" s="53" t="s">
        <v>1591</v>
      </c>
      <c r="AI544" s="53" t="s">
        <v>2686</v>
      </c>
      <c r="AJ544" s="53" t="s">
        <v>1591</v>
      </c>
    </row>
    <row r="545" spans="1:36" s="3" customFormat="1" ht="36" x14ac:dyDescent="0.25">
      <c r="A545" s="17" t="s">
        <v>896</v>
      </c>
      <c r="B545" s="18" t="s">
        <v>37</v>
      </c>
      <c r="C545" s="19" t="s">
        <v>673</v>
      </c>
      <c r="D545" s="45" t="s">
        <v>3427</v>
      </c>
      <c r="E545" s="50"/>
      <c r="F545" s="58"/>
      <c r="G545" s="51"/>
      <c r="H545" s="51"/>
      <c r="I545" s="50" t="s">
        <v>3702</v>
      </c>
      <c r="J545" s="58" t="s">
        <v>3703</v>
      </c>
      <c r="K545" s="52"/>
      <c r="L545" s="59"/>
      <c r="M545" s="60"/>
      <c r="N545" s="51"/>
      <c r="O545" s="59"/>
      <c r="P545" s="59">
        <v>0</v>
      </c>
      <c r="Q545" s="51"/>
      <c r="R545" s="51">
        <f t="shared" si="25"/>
        <v>0</v>
      </c>
      <c r="S545" s="51"/>
      <c r="T545" s="52" t="s">
        <v>2060</v>
      </c>
      <c r="U545" s="51">
        <v>3250</v>
      </c>
      <c r="V545" s="51">
        <v>3250</v>
      </c>
      <c r="W545" s="51">
        <v>3250</v>
      </c>
      <c r="X545" s="51">
        <v>3250</v>
      </c>
      <c r="Y545" s="19" t="s">
        <v>844</v>
      </c>
      <c r="Z545" s="19" t="s">
        <v>4307</v>
      </c>
      <c r="AA545" s="28" t="s">
        <v>7510</v>
      </c>
      <c r="AB545" s="56">
        <v>43423</v>
      </c>
      <c r="AC545" s="28" t="s">
        <v>7511</v>
      </c>
      <c r="AD545" s="28" t="s">
        <v>7512</v>
      </c>
      <c r="AE545" s="54" t="s">
        <v>7518</v>
      </c>
      <c r="AF545" s="54"/>
      <c r="AG545" s="54"/>
      <c r="AH545" s="53" t="s">
        <v>1591</v>
      </c>
      <c r="AI545" s="53" t="s">
        <v>2686</v>
      </c>
      <c r="AJ545" s="53" t="s">
        <v>1591</v>
      </c>
    </row>
    <row r="546" spans="1:36" s="3" customFormat="1" ht="24" x14ac:dyDescent="0.25">
      <c r="A546" s="17" t="s">
        <v>896</v>
      </c>
      <c r="B546" s="18" t="s">
        <v>37</v>
      </c>
      <c r="C546" s="19" t="s">
        <v>673</v>
      </c>
      <c r="D546" s="43" t="s">
        <v>3422</v>
      </c>
      <c r="E546" s="50"/>
      <c r="F546" s="36"/>
      <c r="G546" s="51"/>
      <c r="H546" s="51"/>
      <c r="I546" s="36" t="s">
        <v>3696</v>
      </c>
      <c r="J546" s="34" t="s">
        <v>3710</v>
      </c>
      <c r="K546" s="37"/>
      <c r="L546" s="38"/>
      <c r="M546" s="39"/>
      <c r="N546" s="42"/>
      <c r="O546" s="74"/>
      <c r="P546" s="39">
        <v>0</v>
      </c>
      <c r="Q546" s="41"/>
      <c r="R546" s="51">
        <f t="shared" si="25"/>
        <v>0</v>
      </c>
      <c r="S546" s="51"/>
      <c r="T546" s="52" t="s">
        <v>1826</v>
      </c>
      <c r="U546" s="51">
        <v>3450</v>
      </c>
      <c r="V546" s="51">
        <v>3450</v>
      </c>
      <c r="W546" s="42">
        <v>3450</v>
      </c>
      <c r="X546" s="42">
        <v>3450</v>
      </c>
      <c r="Y546" s="34" t="s">
        <v>844</v>
      </c>
      <c r="Z546" s="19" t="s">
        <v>4307</v>
      </c>
      <c r="AA546" s="28" t="s">
        <v>7510</v>
      </c>
      <c r="AB546" s="56">
        <v>43423</v>
      </c>
      <c r="AC546" s="28" t="s">
        <v>7511</v>
      </c>
      <c r="AD546" s="28" t="s">
        <v>7512</v>
      </c>
      <c r="AE546" s="54" t="s">
        <v>7518</v>
      </c>
      <c r="AF546" s="54"/>
      <c r="AG546" s="54"/>
      <c r="AH546" s="53" t="s">
        <v>1591</v>
      </c>
      <c r="AI546" s="53" t="s">
        <v>2686</v>
      </c>
      <c r="AJ546" s="53" t="s">
        <v>1591</v>
      </c>
    </row>
    <row r="547" spans="1:36" s="3" customFormat="1" ht="24" x14ac:dyDescent="0.25">
      <c r="A547" s="17" t="s">
        <v>896</v>
      </c>
      <c r="B547" s="18" t="s">
        <v>37</v>
      </c>
      <c r="C547" s="19" t="s">
        <v>673</v>
      </c>
      <c r="D547" s="45" t="s">
        <v>3426</v>
      </c>
      <c r="E547" s="50"/>
      <c r="F547" s="58"/>
      <c r="G547" s="51"/>
      <c r="H547" s="51"/>
      <c r="I547" s="50" t="s">
        <v>3698</v>
      </c>
      <c r="J547" s="58" t="s">
        <v>3699</v>
      </c>
      <c r="K547" s="52"/>
      <c r="L547" s="59"/>
      <c r="M547" s="60"/>
      <c r="N547" s="51"/>
      <c r="O547" s="59"/>
      <c r="P547" s="59">
        <v>0</v>
      </c>
      <c r="Q547" s="51"/>
      <c r="R547" s="51">
        <f t="shared" si="25"/>
        <v>0</v>
      </c>
      <c r="S547" s="51"/>
      <c r="T547" s="52" t="s">
        <v>1595</v>
      </c>
      <c r="U547" s="51">
        <v>3802.89</v>
      </c>
      <c r="V547" s="51">
        <v>3802.89</v>
      </c>
      <c r="W547" s="51">
        <v>3802.89</v>
      </c>
      <c r="X547" s="51">
        <v>3802.89</v>
      </c>
      <c r="Y547" s="19" t="s">
        <v>844</v>
      </c>
      <c r="Z547" s="19" t="s">
        <v>4307</v>
      </c>
      <c r="AA547" s="28" t="s">
        <v>7510</v>
      </c>
      <c r="AB547" s="56">
        <v>43423</v>
      </c>
      <c r="AC547" s="28" t="s">
        <v>7511</v>
      </c>
      <c r="AD547" s="28" t="s">
        <v>7512</v>
      </c>
      <c r="AE547" s="54" t="s">
        <v>7518</v>
      </c>
      <c r="AF547" s="54"/>
      <c r="AG547" s="54"/>
      <c r="AH547" s="53" t="s">
        <v>1591</v>
      </c>
      <c r="AI547" s="53" t="s">
        <v>2686</v>
      </c>
      <c r="AJ547" s="53" t="s">
        <v>1591</v>
      </c>
    </row>
    <row r="548" spans="1:36" s="3" customFormat="1" ht="24" x14ac:dyDescent="0.25">
      <c r="A548" s="17" t="s">
        <v>896</v>
      </c>
      <c r="B548" s="18" t="s">
        <v>37</v>
      </c>
      <c r="C548" s="19" t="s">
        <v>673</v>
      </c>
      <c r="D548" s="45" t="s">
        <v>3425</v>
      </c>
      <c r="E548" s="50"/>
      <c r="F548" s="58"/>
      <c r="G548" s="51"/>
      <c r="H548" s="51"/>
      <c r="I548" s="50" t="s">
        <v>3696</v>
      </c>
      <c r="J548" s="58" t="s">
        <v>3710</v>
      </c>
      <c r="K548" s="52"/>
      <c r="L548" s="59"/>
      <c r="M548" s="60"/>
      <c r="N548" s="51"/>
      <c r="O548" s="59"/>
      <c r="P548" s="59">
        <v>0</v>
      </c>
      <c r="Q548" s="51"/>
      <c r="R548" s="51">
        <f t="shared" si="25"/>
        <v>0</v>
      </c>
      <c r="S548" s="51"/>
      <c r="T548" s="52" t="s">
        <v>1826</v>
      </c>
      <c r="U548" s="51">
        <v>4050</v>
      </c>
      <c r="V548" s="51">
        <v>4050</v>
      </c>
      <c r="W548" s="51">
        <v>4050</v>
      </c>
      <c r="X548" s="51">
        <v>4050</v>
      </c>
      <c r="Y548" s="19" t="s">
        <v>844</v>
      </c>
      <c r="Z548" s="19" t="s">
        <v>4307</v>
      </c>
      <c r="AA548" s="28" t="s">
        <v>7510</v>
      </c>
      <c r="AB548" s="56">
        <v>43423</v>
      </c>
      <c r="AC548" s="28" t="s">
        <v>7511</v>
      </c>
      <c r="AD548" s="28" t="s">
        <v>7512</v>
      </c>
      <c r="AE548" s="54" t="s">
        <v>7518</v>
      </c>
      <c r="AF548" s="54"/>
      <c r="AG548" s="54"/>
      <c r="AH548" s="53" t="s">
        <v>1591</v>
      </c>
      <c r="AI548" s="53" t="s">
        <v>2686</v>
      </c>
      <c r="AJ548" s="53" t="s">
        <v>1591</v>
      </c>
    </row>
    <row r="549" spans="1:36" s="3" customFormat="1" ht="36" x14ac:dyDescent="0.25">
      <c r="A549" s="17" t="s">
        <v>896</v>
      </c>
      <c r="B549" s="18" t="s">
        <v>37</v>
      </c>
      <c r="C549" s="19" t="s">
        <v>673</v>
      </c>
      <c r="D549" s="43" t="s">
        <v>3420</v>
      </c>
      <c r="E549" s="50"/>
      <c r="F549" s="36"/>
      <c r="G549" s="51"/>
      <c r="H549" s="51"/>
      <c r="I549" s="36" t="s">
        <v>3696</v>
      </c>
      <c r="J549" s="34" t="s">
        <v>3710</v>
      </c>
      <c r="K549" s="37"/>
      <c r="L549" s="38"/>
      <c r="M549" s="39"/>
      <c r="N549" s="42"/>
      <c r="O549" s="74"/>
      <c r="P549" s="39">
        <v>0</v>
      </c>
      <c r="Q549" s="41"/>
      <c r="R549" s="51">
        <f t="shared" si="25"/>
        <v>0</v>
      </c>
      <c r="S549" s="51"/>
      <c r="T549" s="52" t="s">
        <v>1826</v>
      </c>
      <c r="U549" s="51">
        <v>5100</v>
      </c>
      <c r="V549" s="51">
        <v>5100</v>
      </c>
      <c r="W549" s="42">
        <v>5100</v>
      </c>
      <c r="X549" s="42">
        <v>5100</v>
      </c>
      <c r="Y549" s="34" t="s">
        <v>844</v>
      </c>
      <c r="Z549" s="19" t="s">
        <v>4307</v>
      </c>
      <c r="AA549" s="28" t="s">
        <v>7510</v>
      </c>
      <c r="AB549" s="56">
        <v>43423</v>
      </c>
      <c r="AC549" s="28" t="s">
        <v>7511</v>
      </c>
      <c r="AD549" s="28" t="s">
        <v>7512</v>
      </c>
      <c r="AE549" s="54" t="s">
        <v>7518</v>
      </c>
      <c r="AF549" s="54"/>
      <c r="AG549" s="54"/>
      <c r="AH549" s="53" t="s">
        <v>1591</v>
      </c>
      <c r="AI549" s="53" t="s">
        <v>2686</v>
      </c>
      <c r="AJ549" s="53" t="s">
        <v>1591</v>
      </c>
    </row>
    <row r="550" spans="1:36" s="3" customFormat="1" ht="24" x14ac:dyDescent="0.25">
      <c r="A550" s="17" t="s">
        <v>896</v>
      </c>
      <c r="B550" s="18" t="s">
        <v>37</v>
      </c>
      <c r="C550" s="19" t="s">
        <v>673</v>
      </c>
      <c r="D550" s="43" t="s">
        <v>3417</v>
      </c>
      <c r="E550" s="50"/>
      <c r="F550" s="36"/>
      <c r="G550" s="51"/>
      <c r="H550" s="51"/>
      <c r="I550" s="36" t="s">
        <v>3704</v>
      </c>
      <c r="J550" s="34" t="s">
        <v>3705</v>
      </c>
      <c r="K550" s="37"/>
      <c r="L550" s="38"/>
      <c r="M550" s="39"/>
      <c r="N550" s="42"/>
      <c r="O550" s="74"/>
      <c r="P550" s="39">
        <v>0</v>
      </c>
      <c r="Q550" s="41"/>
      <c r="R550" s="51">
        <f t="shared" si="25"/>
        <v>0</v>
      </c>
      <c r="S550" s="51"/>
      <c r="T550" s="52" t="s">
        <v>163</v>
      </c>
      <c r="U550" s="51">
        <v>7262.64</v>
      </c>
      <c r="V550" s="51">
        <v>7262.64</v>
      </c>
      <c r="W550" s="42">
        <v>7262.64</v>
      </c>
      <c r="X550" s="42">
        <v>7262.64</v>
      </c>
      <c r="Y550" s="34" t="s">
        <v>844</v>
      </c>
      <c r="Z550" s="19" t="s">
        <v>4307</v>
      </c>
      <c r="AA550" s="28" t="s">
        <v>7510</v>
      </c>
      <c r="AB550" s="56">
        <v>43423</v>
      </c>
      <c r="AC550" s="28" t="s">
        <v>7511</v>
      </c>
      <c r="AD550" s="28" t="s">
        <v>7512</v>
      </c>
      <c r="AE550" s="54" t="s">
        <v>7518</v>
      </c>
      <c r="AF550" s="54"/>
      <c r="AG550" s="54"/>
      <c r="AH550" s="53" t="s">
        <v>1591</v>
      </c>
      <c r="AI550" s="53" t="s">
        <v>2686</v>
      </c>
      <c r="AJ550" s="53" t="s">
        <v>1591</v>
      </c>
    </row>
    <row r="551" spans="1:36" s="3" customFormat="1" ht="24" x14ac:dyDescent="0.25">
      <c r="A551" s="17" t="s">
        <v>896</v>
      </c>
      <c r="B551" s="18" t="s">
        <v>37</v>
      </c>
      <c r="C551" s="19" t="s">
        <v>673</v>
      </c>
      <c r="D551" s="43" t="s">
        <v>3414</v>
      </c>
      <c r="E551" s="50"/>
      <c r="F551" s="36"/>
      <c r="G551" s="51"/>
      <c r="H551" s="51"/>
      <c r="I551" s="36" t="s">
        <v>3698</v>
      </c>
      <c r="J551" s="34" t="s">
        <v>3699</v>
      </c>
      <c r="K551" s="37"/>
      <c r="L551" s="38"/>
      <c r="M551" s="39"/>
      <c r="N551" s="42"/>
      <c r="O551" s="74"/>
      <c r="P551" s="39">
        <v>0</v>
      </c>
      <c r="Q551" s="41"/>
      <c r="R551" s="51">
        <f t="shared" si="25"/>
        <v>0</v>
      </c>
      <c r="S551" s="51"/>
      <c r="T551" s="52" t="s">
        <v>2060</v>
      </c>
      <c r="U551" s="51">
        <v>8107.06</v>
      </c>
      <c r="V551" s="51">
        <v>8107.06</v>
      </c>
      <c r="W551" s="42">
        <v>8107.06</v>
      </c>
      <c r="X551" s="42">
        <v>8107.06</v>
      </c>
      <c r="Y551" s="34" t="s">
        <v>844</v>
      </c>
      <c r="Z551" s="19" t="s">
        <v>4307</v>
      </c>
      <c r="AA551" s="28" t="s">
        <v>7510</v>
      </c>
      <c r="AB551" s="56">
        <v>43423</v>
      </c>
      <c r="AC551" s="28" t="s">
        <v>7511</v>
      </c>
      <c r="AD551" s="28" t="s">
        <v>7512</v>
      </c>
      <c r="AE551" s="54" t="s">
        <v>7518</v>
      </c>
      <c r="AF551" s="54"/>
      <c r="AG551" s="54"/>
      <c r="AH551" s="53" t="s">
        <v>1591</v>
      </c>
      <c r="AI551" s="53" t="s">
        <v>2686</v>
      </c>
      <c r="AJ551" s="53" t="s">
        <v>1591</v>
      </c>
    </row>
    <row r="552" spans="1:36" s="3" customFormat="1" ht="24" x14ac:dyDescent="0.25">
      <c r="A552" s="17" t="s">
        <v>896</v>
      </c>
      <c r="B552" s="18" t="s">
        <v>37</v>
      </c>
      <c r="C552" s="19" t="s">
        <v>673</v>
      </c>
      <c r="D552" s="43" t="s">
        <v>3418</v>
      </c>
      <c r="E552" s="50"/>
      <c r="F552" s="36"/>
      <c r="G552" s="51"/>
      <c r="H552" s="51"/>
      <c r="I552" s="36" t="s">
        <v>3706</v>
      </c>
      <c r="J552" s="34" t="s">
        <v>3707</v>
      </c>
      <c r="K552" s="37"/>
      <c r="L552" s="38"/>
      <c r="M552" s="39"/>
      <c r="N552" s="42"/>
      <c r="O552" s="74"/>
      <c r="P552" s="39">
        <v>0</v>
      </c>
      <c r="Q552" s="41"/>
      <c r="R552" s="51">
        <f t="shared" si="25"/>
        <v>0</v>
      </c>
      <c r="S552" s="51"/>
      <c r="T552" s="52" t="s">
        <v>163</v>
      </c>
      <c r="U552" s="51">
        <v>15000</v>
      </c>
      <c r="V552" s="51">
        <v>15000</v>
      </c>
      <c r="W552" s="42">
        <v>15000</v>
      </c>
      <c r="X552" s="42">
        <v>15000</v>
      </c>
      <c r="Y552" s="34" t="s">
        <v>844</v>
      </c>
      <c r="Z552" s="19" t="s">
        <v>4307</v>
      </c>
      <c r="AA552" s="28" t="s">
        <v>7510</v>
      </c>
      <c r="AB552" s="56">
        <v>43423</v>
      </c>
      <c r="AC552" s="28" t="s">
        <v>7511</v>
      </c>
      <c r="AD552" s="28" t="s">
        <v>7512</v>
      </c>
      <c r="AE552" s="54" t="s">
        <v>7518</v>
      </c>
      <c r="AF552" s="54"/>
      <c r="AG552" s="54"/>
      <c r="AH552" s="53" t="s">
        <v>1591</v>
      </c>
      <c r="AI552" s="53" t="s">
        <v>2686</v>
      </c>
      <c r="AJ552" s="53" t="s">
        <v>1591</v>
      </c>
    </row>
    <row r="553" spans="1:36" s="3" customFormat="1" ht="409.5" x14ac:dyDescent="0.25">
      <c r="A553" s="17" t="s">
        <v>905</v>
      </c>
      <c r="B553" s="18" t="s">
        <v>37</v>
      </c>
      <c r="C553" s="19" t="s">
        <v>4528</v>
      </c>
      <c r="D553" s="45" t="s">
        <v>7009</v>
      </c>
      <c r="E553" s="50">
        <v>1.0241913000113008E+16</v>
      </c>
      <c r="F553" s="58" t="s">
        <v>252</v>
      </c>
      <c r="G553" s="51">
        <v>1034770</v>
      </c>
      <c r="H553" s="51"/>
      <c r="I553" s="50" t="s">
        <v>912</v>
      </c>
      <c r="J553" s="58" t="s">
        <v>913</v>
      </c>
      <c r="K553" s="52" t="s">
        <v>914</v>
      </c>
      <c r="L553" s="59">
        <v>41757</v>
      </c>
      <c r="M553" s="60">
        <f>L553+180</f>
        <v>41937</v>
      </c>
      <c r="N553" s="51">
        <v>1453605.56</v>
      </c>
      <c r="O553" s="59"/>
      <c r="P553" s="59" t="s">
        <v>7021</v>
      </c>
      <c r="Q553" s="72">
        <f>46074.62</f>
        <v>46074.62</v>
      </c>
      <c r="R553" s="51">
        <f t="shared" si="25"/>
        <v>1499680.1800000002</v>
      </c>
      <c r="S553" s="51"/>
      <c r="T553" s="52" t="s">
        <v>52</v>
      </c>
      <c r="U553" s="51">
        <v>289778.38</v>
      </c>
      <c r="V553" s="51" t="s">
        <v>7031</v>
      </c>
      <c r="W553" s="51">
        <v>340906.67</v>
      </c>
      <c r="X553" s="51"/>
      <c r="Y553" s="19" t="s">
        <v>2097</v>
      </c>
      <c r="Z553" s="19"/>
      <c r="AA553" s="28"/>
      <c r="AB553" s="56"/>
      <c r="AC553" s="28"/>
      <c r="AD553" s="28"/>
      <c r="AE553" s="54"/>
      <c r="AF553" s="54"/>
      <c r="AG553" s="54"/>
      <c r="AH553" s="53"/>
      <c r="AI553" s="53" t="s">
        <v>1591</v>
      </c>
      <c r="AJ553" s="53" t="s">
        <v>1591</v>
      </c>
    </row>
    <row r="554" spans="1:36" s="3" customFormat="1" ht="348" x14ac:dyDescent="0.25">
      <c r="A554" s="35" t="s">
        <v>905</v>
      </c>
      <c r="B554" s="34" t="s">
        <v>37</v>
      </c>
      <c r="C554" s="19" t="s">
        <v>4529</v>
      </c>
      <c r="D554" s="43" t="s">
        <v>7006</v>
      </c>
      <c r="E554" s="50" t="s">
        <v>7007</v>
      </c>
      <c r="F554" s="36" t="s">
        <v>4530</v>
      </c>
      <c r="G554" s="51" t="s">
        <v>7008</v>
      </c>
      <c r="H554" s="51">
        <v>5866.22</v>
      </c>
      <c r="I554" s="36" t="s">
        <v>912</v>
      </c>
      <c r="J554" s="34" t="s">
        <v>913</v>
      </c>
      <c r="K554" s="37" t="s">
        <v>4531</v>
      </c>
      <c r="L554" s="38">
        <v>41848</v>
      </c>
      <c r="M554" s="39">
        <f>L554+240</f>
        <v>42088</v>
      </c>
      <c r="N554" s="42">
        <v>934362.64</v>
      </c>
      <c r="O554" s="74"/>
      <c r="P554" s="39" t="s">
        <v>7020</v>
      </c>
      <c r="Q554" s="98">
        <f>-13113.64+61510.44+45831.52</f>
        <v>94228.32</v>
      </c>
      <c r="R554" s="51">
        <f t="shared" si="25"/>
        <v>1028590.96</v>
      </c>
      <c r="S554" s="51"/>
      <c r="T554" s="52" t="s">
        <v>52</v>
      </c>
      <c r="U554" s="51">
        <v>197616.81</v>
      </c>
      <c r="V554" s="51">
        <v>150514.51999999999</v>
      </c>
      <c r="W554" s="42">
        <v>150514.51999999999</v>
      </c>
      <c r="X554" s="42">
        <v>796273.88</v>
      </c>
      <c r="Y554" s="34" t="s">
        <v>2863</v>
      </c>
      <c r="Z554" s="34"/>
      <c r="AA554" s="28"/>
      <c r="AB554" s="56"/>
      <c r="AC554" s="28"/>
      <c r="AD554" s="28"/>
      <c r="AE554" s="54"/>
      <c r="AF554" s="54"/>
      <c r="AG554" s="54"/>
      <c r="AH554" s="53"/>
      <c r="AI554" s="53" t="s">
        <v>1591</v>
      </c>
      <c r="AJ554" s="53" t="s">
        <v>1591</v>
      </c>
    </row>
    <row r="555" spans="1:36" s="3" customFormat="1" ht="120" x14ac:dyDescent="0.25">
      <c r="A555" s="35" t="s">
        <v>2853</v>
      </c>
      <c r="B555" s="18" t="s">
        <v>37</v>
      </c>
      <c r="C555" s="76"/>
      <c r="D555" s="43" t="s">
        <v>4532</v>
      </c>
      <c r="E555" s="78"/>
      <c r="F555" s="36"/>
      <c r="G555" s="80"/>
      <c r="H555" s="80"/>
      <c r="I555" s="36" t="s">
        <v>4533</v>
      </c>
      <c r="J555" s="34" t="s">
        <v>4534</v>
      </c>
      <c r="K555" s="37" t="s">
        <v>4535</v>
      </c>
      <c r="L555" s="38">
        <v>41460</v>
      </c>
      <c r="M555" s="39">
        <v>41820</v>
      </c>
      <c r="N555" s="42">
        <v>905425.46</v>
      </c>
      <c r="O555" s="85"/>
      <c r="P555" s="86">
        <v>42180</v>
      </c>
      <c r="Q555" s="41"/>
      <c r="R555" s="41">
        <v>905425.46</v>
      </c>
      <c r="S555" s="80"/>
      <c r="T555" s="81"/>
      <c r="U555" s="80"/>
      <c r="V555" s="80"/>
      <c r="W555" s="42"/>
      <c r="X555" s="42">
        <v>281343.65999999997</v>
      </c>
      <c r="Y555" s="34" t="s">
        <v>4321</v>
      </c>
      <c r="Z555" s="19" t="s">
        <v>7038</v>
      </c>
      <c r="AA555" s="28"/>
      <c r="AB555" s="56"/>
      <c r="AC555" s="28"/>
      <c r="AD555" s="28"/>
      <c r="AE555" s="54"/>
      <c r="AF555" s="54"/>
      <c r="AG555" s="54"/>
      <c r="AH555" s="53"/>
      <c r="AI555" s="53" t="s">
        <v>1591</v>
      </c>
      <c r="AJ555" s="53" t="s">
        <v>1591</v>
      </c>
    </row>
    <row r="556" spans="1:36" s="3" customFormat="1" ht="156" x14ac:dyDescent="0.25">
      <c r="A556" s="17" t="s">
        <v>905</v>
      </c>
      <c r="B556" s="18" t="s">
        <v>37</v>
      </c>
      <c r="C556" s="19" t="s">
        <v>4540</v>
      </c>
      <c r="D556" s="45" t="s">
        <v>7012</v>
      </c>
      <c r="E556" s="50"/>
      <c r="F556" s="58"/>
      <c r="G556" s="51"/>
      <c r="H556" s="51"/>
      <c r="I556" s="50" t="s">
        <v>900</v>
      </c>
      <c r="J556" s="58" t="s">
        <v>4541</v>
      </c>
      <c r="K556" s="52" t="s">
        <v>4542</v>
      </c>
      <c r="L556" s="59">
        <v>42293</v>
      </c>
      <c r="M556" s="60">
        <f>L556+180</f>
        <v>42473</v>
      </c>
      <c r="N556" s="51">
        <v>768622.2</v>
      </c>
      <c r="O556" s="59"/>
      <c r="P556" s="59" t="s">
        <v>7026</v>
      </c>
      <c r="Q556" s="51">
        <v>13133.49</v>
      </c>
      <c r="R556" s="51">
        <f>N556+Q556</f>
        <v>781755.69</v>
      </c>
      <c r="S556" s="51"/>
      <c r="T556" s="52" t="s">
        <v>52</v>
      </c>
      <c r="U556" s="51">
        <v>32783.79</v>
      </c>
      <c r="V556" s="51"/>
      <c r="W556" s="51"/>
      <c r="X556" s="51">
        <v>210666.86</v>
      </c>
      <c r="Y556" s="19" t="s">
        <v>175</v>
      </c>
      <c r="Z556" s="19"/>
      <c r="AA556" s="28"/>
      <c r="AB556" s="56"/>
      <c r="AC556" s="28"/>
      <c r="AD556" s="28"/>
      <c r="AE556" s="54"/>
      <c r="AF556" s="54"/>
      <c r="AG556" s="54"/>
      <c r="AH556" s="53"/>
      <c r="AI556" s="53" t="s">
        <v>1591</v>
      </c>
      <c r="AJ556" s="53" t="s">
        <v>1591</v>
      </c>
    </row>
    <row r="557" spans="1:36" s="3" customFormat="1" ht="396" x14ac:dyDescent="0.25">
      <c r="A557" s="17" t="s">
        <v>905</v>
      </c>
      <c r="B557" s="18" t="s">
        <v>37</v>
      </c>
      <c r="C557" s="19" t="s">
        <v>4536</v>
      </c>
      <c r="D557" s="45" t="s">
        <v>7011</v>
      </c>
      <c r="E557" s="50"/>
      <c r="F557" s="58"/>
      <c r="G557" s="51"/>
      <c r="H557" s="51"/>
      <c r="I557" s="50" t="s">
        <v>916</v>
      </c>
      <c r="J557" s="58" t="s">
        <v>4537</v>
      </c>
      <c r="K557" s="52" t="s">
        <v>4538</v>
      </c>
      <c r="L557" s="59">
        <v>42311</v>
      </c>
      <c r="M557" s="60">
        <f>L557+90</f>
        <v>42401</v>
      </c>
      <c r="N557" s="51">
        <v>571594.53</v>
      </c>
      <c r="O557" s="59"/>
      <c r="P557" s="59" t="s">
        <v>7024</v>
      </c>
      <c r="Q557" s="51">
        <v>197896.54</v>
      </c>
      <c r="R557" s="51">
        <f>N557+Q557</f>
        <v>769491.07000000007</v>
      </c>
      <c r="S557" s="51"/>
      <c r="T557" s="52" t="s">
        <v>52</v>
      </c>
      <c r="U557" s="51"/>
      <c r="V557" s="51">
        <v>109640.2</v>
      </c>
      <c r="W557" s="51">
        <v>109640.2</v>
      </c>
      <c r="X557" s="51">
        <v>539053.5</v>
      </c>
      <c r="Y557" s="19" t="s">
        <v>142</v>
      </c>
      <c r="Z557" s="19"/>
      <c r="AA557" s="28"/>
      <c r="AB557" s="56"/>
      <c r="AC557" s="28"/>
      <c r="AD557" s="28"/>
      <c r="AE557" s="54"/>
      <c r="AF557" s="54"/>
      <c r="AG557" s="54"/>
      <c r="AH557" s="53"/>
      <c r="AI557" s="53" t="s">
        <v>1591</v>
      </c>
      <c r="AJ557" s="53" t="s">
        <v>1591</v>
      </c>
    </row>
    <row r="558" spans="1:36" s="3" customFormat="1" ht="84" x14ac:dyDescent="0.25">
      <c r="A558" s="17" t="s">
        <v>905</v>
      </c>
      <c r="B558" s="18" t="s">
        <v>37</v>
      </c>
      <c r="C558" s="19" t="s">
        <v>7013</v>
      </c>
      <c r="D558" s="45" t="s">
        <v>7014</v>
      </c>
      <c r="E558" s="50"/>
      <c r="F558" s="58"/>
      <c r="G558" s="51"/>
      <c r="H558" s="51"/>
      <c r="I558" s="50" t="s">
        <v>916</v>
      </c>
      <c r="J558" s="58" t="s">
        <v>4537</v>
      </c>
      <c r="K558" s="52" t="s">
        <v>4539</v>
      </c>
      <c r="L558" s="59">
        <v>42550</v>
      </c>
      <c r="M558" s="60">
        <f>L558+150</f>
        <v>42700</v>
      </c>
      <c r="N558" s="51">
        <v>756253.34</v>
      </c>
      <c r="O558" s="59"/>
      <c r="P558" s="59" t="s">
        <v>7027</v>
      </c>
      <c r="Q558" s="51"/>
      <c r="R558" s="51">
        <f>N558+Q558</f>
        <v>756253.34</v>
      </c>
      <c r="S558" s="51"/>
      <c r="T558" s="52" t="s">
        <v>52</v>
      </c>
      <c r="U558" s="51"/>
      <c r="V558" s="51"/>
      <c r="W558" s="51"/>
      <c r="X558" s="51">
        <v>228145.59</v>
      </c>
      <c r="Y558" s="19" t="s">
        <v>1523</v>
      </c>
      <c r="Z558" s="19"/>
      <c r="AA558" s="28"/>
      <c r="AB558" s="56"/>
      <c r="AC558" s="28"/>
      <c r="AD558" s="28"/>
      <c r="AE558" s="54"/>
      <c r="AF558" s="54"/>
      <c r="AG558" s="54"/>
      <c r="AH558" s="53"/>
      <c r="AI558" s="53" t="s">
        <v>1591</v>
      </c>
      <c r="AJ558" s="53" t="s">
        <v>1591</v>
      </c>
    </row>
    <row r="559" spans="1:36" s="3" customFormat="1" ht="120" x14ac:dyDescent="0.25">
      <c r="A559" s="17" t="s">
        <v>905</v>
      </c>
      <c r="B559" s="18" t="s">
        <v>37</v>
      </c>
      <c r="C559" s="19" t="s">
        <v>7015</v>
      </c>
      <c r="D559" s="45" t="s">
        <v>7016</v>
      </c>
      <c r="E559" s="50"/>
      <c r="F559" s="58"/>
      <c r="G559" s="51"/>
      <c r="H559" s="51"/>
      <c r="I559" s="50" t="s">
        <v>79</v>
      </c>
      <c r="J559" s="58" t="s">
        <v>919</v>
      </c>
      <c r="K559" s="52" t="s">
        <v>921</v>
      </c>
      <c r="L559" s="59">
        <v>42550</v>
      </c>
      <c r="M559" s="60">
        <f>L559+150</f>
        <v>42700</v>
      </c>
      <c r="N559" s="51">
        <v>744437.95</v>
      </c>
      <c r="O559" s="59"/>
      <c r="P559" s="59" t="s">
        <v>7028</v>
      </c>
      <c r="Q559" s="51"/>
      <c r="R559" s="51">
        <f>N559+Q559</f>
        <v>744437.95</v>
      </c>
      <c r="S559" s="51"/>
      <c r="T559" s="52" t="s">
        <v>52</v>
      </c>
      <c r="U559" s="51">
        <v>92862.59</v>
      </c>
      <c r="V559" s="51"/>
      <c r="W559" s="51"/>
      <c r="X559" s="51">
        <v>268846.38</v>
      </c>
      <c r="Y559" s="19" t="s">
        <v>175</v>
      </c>
      <c r="Z559" s="19"/>
      <c r="AA559" s="28"/>
      <c r="AB559" s="56"/>
      <c r="AC559" s="28"/>
      <c r="AD559" s="28"/>
      <c r="AE559" s="54"/>
      <c r="AF559" s="54"/>
      <c r="AG559" s="54"/>
      <c r="AH559" s="53"/>
      <c r="AI559" s="53" t="s">
        <v>1591</v>
      </c>
      <c r="AJ559" s="53" t="s">
        <v>1591</v>
      </c>
    </row>
    <row r="560" spans="1:36" s="3" customFormat="1" ht="36" x14ac:dyDescent="0.25">
      <c r="A560" s="35" t="s">
        <v>2853</v>
      </c>
      <c r="B560" s="18" t="s">
        <v>37</v>
      </c>
      <c r="C560" s="76"/>
      <c r="D560" s="43" t="s">
        <v>4543</v>
      </c>
      <c r="E560" s="78"/>
      <c r="F560" s="36"/>
      <c r="G560" s="80"/>
      <c r="H560" s="80"/>
      <c r="I560" s="36" t="s">
        <v>67</v>
      </c>
      <c r="J560" s="34" t="s">
        <v>4544</v>
      </c>
      <c r="K560" s="37" t="s">
        <v>942</v>
      </c>
      <c r="L560" s="38">
        <v>41862</v>
      </c>
      <c r="M560" s="39">
        <v>41952</v>
      </c>
      <c r="N560" s="42">
        <v>546128</v>
      </c>
      <c r="O560" s="85"/>
      <c r="P560" s="86">
        <v>42130</v>
      </c>
      <c r="Q560" s="41">
        <v>113461.2</v>
      </c>
      <c r="R560" s="41">
        <v>659589.19999999995</v>
      </c>
      <c r="S560" s="80"/>
      <c r="T560" s="81"/>
      <c r="U560" s="80"/>
      <c r="V560" s="80"/>
      <c r="W560" s="42"/>
      <c r="X560" s="42"/>
      <c r="Y560" s="34" t="s">
        <v>4321</v>
      </c>
      <c r="Z560" s="19" t="s">
        <v>7038</v>
      </c>
      <c r="AA560" s="28"/>
      <c r="AB560" s="56"/>
      <c r="AC560" s="28"/>
      <c r="AD560" s="28"/>
      <c r="AE560" s="54"/>
      <c r="AF560" s="54"/>
      <c r="AG560" s="54"/>
      <c r="AH560" s="53"/>
      <c r="AI560" s="53" t="s">
        <v>1591</v>
      </c>
      <c r="AJ560" s="53" t="s">
        <v>1591</v>
      </c>
    </row>
    <row r="561" spans="1:36" s="3" customFormat="1" ht="72" x14ac:dyDescent="0.25">
      <c r="A561" s="17" t="s">
        <v>905</v>
      </c>
      <c r="B561" s="18" t="s">
        <v>37</v>
      </c>
      <c r="C561" s="19" t="s">
        <v>4545</v>
      </c>
      <c r="D561" s="45" t="s">
        <v>4546</v>
      </c>
      <c r="E561" s="50" t="s">
        <v>4547</v>
      </c>
      <c r="F561" s="58" t="s">
        <v>4548</v>
      </c>
      <c r="G561" s="51">
        <v>510000</v>
      </c>
      <c r="H561" s="51">
        <v>96598.74</v>
      </c>
      <c r="I561" s="50" t="s">
        <v>900</v>
      </c>
      <c r="J561" s="58" t="s">
        <v>4541</v>
      </c>
      <c r="K561" s="52" t="s">
        <v>4549</v>
      </c>
      <c r="L561" s="59">
        <v>42174</v>
      </c>
      <c r="M561" s="60">
        <f>L561+180</f>
        <v>42354</v>
      </c>
      <c r="N561" s="51">
        <v>606598.74</v>
      </c>
      <c r="O561" s="59"/>
      <c r="P561" s="59" t="s">
        <v>7023</v>
      </c>
      <c r="Q561" s="51"/>
      <c r="R561" s="51">
        <f>N561+Q561</f>
        <v>606598.74</v>
      </c>
      <c r="S561" s="51"/>
      <c r="T561" s="52" t="s">
        <v>52</v>
      </c>
      <c r="U561" s="51"/>
      <c r="V561" s="51"/>
      <c r="W561" s="51"/>
      <c r="X561" s="51">
        <v>103485.52</v>
      </c>
      <c r="Y561" s="19" t="s">
        <v>2097</v>
      </c>
      <c r="Z561" s="19"/>
      <c r="AA561" s="28"/>
      <c r="AB561" s="56"/>
      <c r="AC561" s="28"/>
      <c r="AD561" s="28"/>
      <c r="AE561" s="54"/>
      <c r="AF561" s="54"/>
      <c r="AG561" s="54"/>
      <c r="AH561" s="53"/>
      <c r="AI561" s="53" t="s">
        <v>1591</v>
      </c>
      <c r="AJ561" s="53" t="s">
        <v>1591</v>
      </c>
    </row>
    <row r="562" spans="1:36" s="3" customFormat="1" ht="108" x14ac:dyDescent="0.25">
      <c r="A562" s="17" t="s">
        <v>905</v>
      </c>
      <c r="B562" s="18" t="s">
        <v>37</v>
      </c>
      <c r="C562" s="19" t="s">
        <v>4550</v>
      </c>
      <c r="D562" s="45" t="s">
        <v>7010</v>
      </c>
      <c r="E562" s="50" t="s">
        <v>4551</v>
      </c>
      <c r="F562" s="58" t="s">
        <v>4552</v>
      </c>
      <c r="G562" s="51">
        <v>564266.25</v>
      </c>
      <c r="H562" s="51"/>
      <c r="I562" s="50" t="s">
        <v>884</v>
      </c>
      <c r="J562" s="58" t="s">
        <v>4553</v>
      </c>
      <c r="K562" s="52" t="s">
        <v>915</v>
      </c>
      <c r="L562" s="59">
        <v>42143</v>
      </c>
      <c r="M562" s="60">
        <f>L562+180</f>
        <v>42323</v>
      </c>
      <c r="N562" s="51">
        <v>548602.72</v>
      </c>
      <c r="O562" s="59"/>
      <c r="P562" s="59" t="s">
        <v>7022</v>
      </c>
      <c r="Q562" s="72">
        <f>21154.78+16069</f>
        <v>37223.78</v>
      </c>
      <c r="R562" s="51">
        <f>N562+Q562</f>
        <v>585826.5</v>
      </c>
      <c r="S562" s="51"/>
      <c r="T562" s="52" t="s">
        <v>52</v>
      </c>
      <c r="U562" s="51"/>
      <c r="V562" s="51"/>
      <c r="W562" s="51"/>
      <c r="X562" s="51">
        <v>325721.76</v>
      </c>
      <c r="Y562" s="19" t="s">
        <v>175</v>
      </c>
      <c r="Z562" s="19"/>
      <c r="AA562" s="28"/>
      <c r="AB562" s="56"/>
      <c r="AC562" s="28"/>
      <c r="AD562" s="28"/>
      <c r="AE562" s="54"/>
      <c r="AF562" s="54"/>
      <c r="AG562" s="54"/>
      <c r="AH562" s="53"/>
      <c r="AI562" s="53" t="s">
        <v>1591</v>
      </c>
      <c r="AJ562" s="53" t="s">
        <v>1591</v>
      </c>
    </row>
    <row r="563" spans="1:36" s="3" customFormat="1" ht="36" x14ac:dyDescent="0.25">
      <c r="A563" s="35" t="s">
        <v>2853</v>
      </c>
      <c r="B563" s="18" t="s">
        <v>37</v>
      </c>
      <c r="C563" s="76"/>
      <c r="D563" s="43" t="s">
        <v>4554</v>
      </c>
      <c r="E563" s="78"/>
      <c r="F563" s="36"/>
      <c r="G563" s="80"/>
      <c r="H563" s="80"/>
      <c r="I563" s="36" t="s">
        <v>67</v>
      </c>
      <c r="J563" s="34" t="s">
        <v>4544</v>
      </c>
      <c r="K563" s="37" t="s">
        <v>2442</v>
      </c>
      <c r="L563" s="38">
        <v>41878</v>
      </c>
      <c r="M563" s="39">
        <v>41968</v>
      </c>
      <c r="N563" s="42">
        <v>564257</v>
      </c>
      <c r="O563" s="85"/>
      <c r="P563" s="86">
        <v>42055</v>
      </c>
      <c r="Q563" s="41"/>
      <c r="R563" s="41">
        <v>564257</v>
      </c>
      <c r="S563" s="80"/>
      <c r="T563" s="81"/>
      <c r="U563" s="80"/>
      <c r="V563" s="80"/>
      <c r="W563" s="42"/>
      <c r="X563" s="42"/>
      <c r="Y563" s="34" t="s">
        <v>4321</v>
      </c>
      <c r="Z563" s="19" t="s">
        <v>7038</v>
      </c>
      <c r="AA563" s="28"/>
      <c r="AB563" s="56"/>
      <c r="AC563" s="28"/>
      <c r="AD563" s="28"/>
      <c r="AE563" s="54"/>
      <c r="AF563" s="54"/>
      <c r="AG563" s="54"/>
      <c r="AH563" s="53"/>
      <c r="AI563" s="53" t="s">
        <v>1591</v>
      </c>
      <c r="AJ563" s="53" t="s">
        <v>1591</v>
      </c>
    </row>
    <row r="564" spans="1:36" s="3" customFormat="1" ht="240" x14ac:dyDescent="0.25">
      <c r="A564" s="35" t="s">
        <v>905</v>
      </c>
      <c r="B564" s="34" t="s">
        <v>37</v>
      </c>
      <c r="C564" s="19" t="s">
        <v>4555</v>
      </c>
      <c r="D564" s="43" t="s">
        <v>7005</v>
      </c>
      <c r="E564" s="50" t="s">
        <v>4551</v>
      </c>
      <c r="F564" s="36" t="s">
        <v>4552</v>
      </c>
      <c r="G564" s="51">
        <v>381461.6</v>
      </c>
      <c r="H564" s="51"/>
      <c r="I564" s="36" t="s">
        <v>315</v>
      </c>
      <c r="J564" s="34" t="s">
        <v>4456</v>
      </c>
      <c r="K564" s="37" t="s">
        <v>911</v>
      </c>
      <c r="L564" s="38">
        <v>41857</v>
      </c>
      <c r="M564" s="39">
        <f>L564+150</f>
        <v>42007</v>
      </c>
      <c r="N564" s="42">
        <v>373872.56</v>
      </c>
      <c r="O564" s="74"/>
      <c r="P564" s="39" t="s">
        <v>7019</v>
      </c>
      <c r="Q564" s="98">
        <v>24387.52</v>
      </c>
      <c r="R564" s="51">
        <f>N564+Q564</f>
        <v>398260.08</v>
      </c>
      <c r="S564" s="51"/>
      <c r="T564" s="52" t="s">
        <v>52</v>
      </c>
      <c r="U564" s="51"/>
      <c r="V564" s="51"/>
      <c r="W564" s="42"/>
      <c r="X564" s="42">
        <v>376063.26</v>
      </c>
      <c r="Y564" s="34" t="s">
        <v>2097</v>
      </c>
      <c r="Z564" s="34"/>
      <c r="AA564" s="28"/>
      <c r="AB564" s="56"/>
      <c r="AC564" s="28"/>
      <c r="AD564" s="28"/>
      <c r="AE564" s="54"/>
      <c r="AF564" s="54"/>
      <c r="AG564" s="54"/>
      <c r="AH564" s="53"/>
      <c r="AI564" s="53" t="s">
        <v>1591</v>
      </c>
      <c r="AJ564" s="53" t="s">
        <v>1591</v>
      </c>
    </row>
    <row r="565" spans="1:36" s="3" customFormat="1" ht="156" x14ac:dyDescent="0.25">
      <c r="A565" s="17" t="s">
        <v>905</v>
      </c>
      <c r="B565" s="18" t="s">
        <v>37</v>
      </c>
      <c r="C565" s="19" t="s">
        <v>4589</v>
      </c>
      <c r="D565" s="45" t="s">
        <v>7018</v>
      </c>
      <c r="E565" s="50"/>
      <c r="F565" s="58"/>
      <c r="G565" s="51"/>
      <c r="H565" s="51"/>
      <c r="I565" s="50" t="s">
        <v>4590</v>
      </c>
      <c r="J565" s="58" t="s">
        <v>4591</v>
      </c>
      <c r="K565" s="52" t="s">
        <v>84</v>
      </c>
      <c r="L565" s="59">
        <v>42719</v>
      </c>
      <c r="M565" s="60">
        <f>L565+12*30</f>
        <v>43079</v>
      </c>
      <c r="N565" s="51">
        <v>232050</v>
      </c>
      <c r="O565" s="59"/>
      <c r="P565" s="59" t="s">
        <v>7030</v>
      </c>
      <c r="Q565" s="51">
        <f>29750+71400</f>
        <v>101150</v>
      </c>
      <c r="R565" s="51">
        <f>N565+Q565</f>
        <v>333200</v>
      </c>
      <c r="S565" s="51"/>
      <c r="T565" s="52"/>
      <c r="U565" s="51">
        <v>17850</v>
      </c>
      <c r="V565" s="51">
        <v>41650</v>
      </c>
      <c r="W565" s="51">
        <v>41650</v>
      </c>
      <c r="X565" s="51">
        <v>214200</v>
      </c>
      <c r="Y565" s="19" t="s">
        <v>1523</v>
      </c>
      <c r="Z565" s="19"/>
      <c r="AA565" s="28"/>
      <c r="AB565" s="56"/>
      <c r="AC565" s="28"/>
      <c r="AD565" s="28"/>
      <c r="AE565" s="54"/>
      <c r="AF565" s="54"/>
      <c r="AG565" s="54"/>
      <c r="AH565" s="53"/>
      <c r="AI565" s="53" t="s">
        <v>1591</v>
      </c>
      <c r="AJ565" s="53" t="s">
        <v>1591</v>
      </c>
    </row>
    <row r="566" spans="1:36" s="3" customFormat="1" ht="36" x14ac:dyDescent="0.25">
      <c r="A566" s="35" t="s">
        <v>2853</v>
      </c>
      <c r="B566" s="18" t="s">
        <v>37</v>
      </c>
      <c r="C566" s="76"/>
      <c r="D566" s="43" t="s">
        <v>4556</v>
      </c>
      <c r="E566" s="78"/>
      <c r="F566" s="36"/>
      <c r="G566" s="80"/>
      <c r="H566" s="80"/>
      <c r="I566" s="36" t="s">
        <v>315</v>
      </c>
      <c r="J566" s="34" t="s">
        <v>4456</v>
      </c>
      <c r="K566" s="37" t="s">
        <v>4557</v>
      </c>
      <c r="L566" s="38">
        <v>41852</v>
      </c>
      <c r="M566" s="39">
        <v>41972</v>
      </c>
      <c r="N566" s="42">
        <v>267505.55</v>
      </c>
      <c r="O566" s="85"/>
      <c r="P566" s="86">
        <v>42306</v>
      </c>
      <c r="Q566" s="41"/>
      <c r="R566" s="41">
        <v>267505.55</v>
      </c>
      <c r="S566" s="80"/>
      <c r="T566" s="81"/>
      <c r="U566" s="80"/>
      <c r="V566" s="80"/>
      <c r="W566" s="42"/>
      <c r="X566" s="42">
        <v>20176.96</v>
      </c>
      <c r="Y566" s="34" t="s">
        <v>4321</v>
      </c>
      <c r="Z566" s="19" t="s">
        <v>7038</v>
      </c>
      <c r="AA566" s="28"/>
      <c r="AB566" s="56"/>
      <c r="AC566" s="28"/>
      <c r="AD566" s="28"/>
      <c r="AE566" s="54"/>
      <c r="AF566" s="54"/>
      <c r="AG566" s="54"/>
      <c r="AH566" s="53"/>
      <c r="AI566" s="53" t="s">
        <v>1591</v>
      </c>
      <c r="AJ566" s="53" t="s">
        <v>1591</v>
      </c>
    </row>
    <row r="567" spans="1:36" s="3" customFormat="1" ht="36" x14ac:dyDescent="0.25">
      <c r="A567" s="17" t="s">
        <v>905</v>
      </c>
      <c r="B567" s="18" t="s">
        <v>37</v>
      </c>
      <c r="C567" s="76" t="s">
        <v>4558</v>
      </c>
      <c r="D567" s="45" t="s">
        <v>4559</v>
      </c>
      <c r="E567" s="78" t="s">
        <v>4560</v>
      </c>
      <c r="F567" s="79" t="s">
        <v>252</v>
      </c>
      <c r="G567" s="80">
        <v>180000</v>
      </c>
      <c r="H567" s="80">
        <v>72789.929999999993</v>
      </c>
      <c r="I567" s="78" t="s">
        <v>908</v>
      </c>
      <c r="J567" s="79" t="s">
        <v>4561</v>
      </c>
      <c r="K567" s="81" t="s">
        <v>4562</v>
      </c>
      <c r="L567" s="82">
        <v>41611</v>
      </c>
      <c r="M567" s="83">
        <v>41761</v>
      </c>
      <c r="N567" s="80">
        <v>252789.93</v>
      </c>
      <c r="O567" s="82"/>
      <c r="P567" s="84" t="s">
        <v>4563</v>
      </c>
      <c r="Q567" s="80">
        <v>0</v>
      </c>
      <c r="R567" s="80">
        <v>252789.93</v>
      </c>
      <c r="S567" s="80"/>
      <c r="T567" s="81" t="s">
        <v>52</v>
      </c>
      <c r="U567" s="80"/>
      <c r="V567" s="80"/>
      <c r="W567" s="80"/>
      <c r="X567" s="80">
        <v>147638.17000000001</v>
      </c>
      <c r="Y567" s="76" t="s">
        <v>4564</v>
      </c>
      <c r="Z567" s="19" t="s">
        <v>7038</v>
      </c>
      <c r="AA567" s="28"/>
      <c r="AB567" s="56"/>
      <c r="AC567" s="28"/>
      <c r="AD567" s="28"/>
      <c r="AE567" s="54"/>
      <c r="AF567" s="54"/>
      <c r="AG567" s="54"/>
      <c r="AH567" s="53"/>
      <c r="AI567" s="53" t="s">
        <v>1591</v>
      </c>
      <c r="AJ567" s="53" t="s">
        <v>1591</v>
      </c>
    </row>
    <row r="568" spans="1:36" s="3" customFormat="1" ht="36" x14ac:dyDescent="0.25">
      <c r="A568" s="17" t="s">
        <v>905</v>
      </c>
      <c r="B568" s="18" t="s">
        <v>37</v>
      </c>
      <c r="C568" s="19" t="s">
        <v>4565</v>
      </c>
      <c r="D568" s="45" t="s">
        <v>4566</v>
      </c>
      <c r="E568" s="50"/>
      <c r="F568" s="58"/>
      <c r="G568" s="51"/>
      <c r="H568" s="51"/>
      <c r="I568" s="50" t="s">
        <v>4567</v>
      </c>
      <c r="J568" s="58" t="s">
        <v>4537</v>
      </c>
      <c r="K568" s="52" t="s">
        <v>4568</v>
      </c>
      <c r="L568" s="59">
        <v>42597</v>
      </c>
      <c r="M568" s="60">
        <f>L568+90</f>
        <v>42687</v>
      </c>
      <c r="N568" s="51">
        <v>199578.58</v>
      </c>
      <c r="O568" s="59"/>
      <c r="P568" s="59"/>
      <c r="Q568" s="51">
        <v>48146.84</v>
      </c>
      <c r="R568" s="51">
        <f>N568+Q568</f>
        <v>247725.41999999998</v>
      </c>
      <c r="S568" s="51"/>
      <c r="T568" s="52" t="s">
        <v>52</v>
      </c>
      <c r="U568" s="51"/>
      <c r="V568" s="51"/>
      <c r="W568" s="51"/>
      <c r="X568" s="51"/>
      <c r="Y568" s="19" t="s">
        <v>2097</v>
      </c>
      <c r="Z568" s="19"/>
      <c r="AA568" s="28"/>
      <c r="AB568" s="56"/>
      <c r="AC568" s="28"/>
      <c r="AD568" s="28"/>
      <c r="AE568" s="54"/>
      <c r="AF568" s="54"/>
      <c r="AG568" s="54"/>
      <c r="AH568" s="53"/>
      <c r="AI568" s="53" t="s">
        <v>1591</v>
      </c>
      <c r="AJ568" s="53" t="s">
        <v>1591</v>
      </c>
    </row>
    <row r="569" spans="1:36" s="3" customFormat="1" ht="48" x14ac:dyDescent="0.25">
      <c r="A569" s="17" t="s">
        <v>905</v>
      </c>
      <c r="B569" s="18" t="s">
        <v>37</v>
      </c>
      <c r="C569" s="19" t="s">
        <v>4569</v>
      </c>
      <c r="D569" s="45" t="s">
        <v>4570</v>
      </c>
      <c r="E569" s="50"/>
      <c r="F569" s="58"/>
      <c r="G569" s="51"/>
      <c r="H569" s="51"/>
      <c r="I569" s="50" t="s">
        <v>916</v>
      </c>
      <c r="J569" s="58" t="s">
        <v>4537</v>
      </c>
      <c r="K569" s="52" t="s">
        <v>918</v>
      </c>
      <c r="L569" s="59">
        <v>42552</v>
      </c>
      <c r="M569" s="60">
        <f>L569+150</f>
        <v>42702</v>
      </c>
      <c r="N569" s="51">
        <v>232275</v>
      </c>
      <c r="O569" s="59"/>
      <c r="P569" s="59"/>
      <c r="Q569" s="51"/>
      <c r="R569" s="51">
        <f>N569+Q569</f>
        <v>232275</v>
      </c>
      <c r="S569" s="51"/>
      <c r="T569" s="52"/>
      <c r="U569" s="51"/>
      <c r="V569" s="51"/>
      <c r="W569" s="51"/>
      <c r="X569" s="51">
        <v>27374.22</v>
      </c>
      <c r="Y569" s="19" t="s">
        <v>2097</v>
      </c>
      <c r="Z569" s="19"/>
      <c r="AA569" s="28"/>
      <c r="AB569" s="56"/>
      <c r="AC569" s="28"/>
      <c r="AD569" s="28"/>
      <c r="AE569" s="54"/>
      <c r="AF569" s="54"/>
      <c r="AG569" s="54"/>
      <c r="AH569" s="53"/>
      <c r="AI569" s="53" t="s">
        <v>1591</v>
      </c>
      <c r="AJ569" s="53" t="s">
        <v>1591</v>
      </c>
    </row>
    <row r="570" spans="1:36" s="3" customFormat="1" ht="84" x14ac:dyDescent="0.25">
      <c r="A570" s="17" t="s">
        <v>905</v>
      </c>
      <c r="B570" s="18" t="s">
        <v>37</v>
      </c>
      <c r="C570" s="19" t="s">
        <v>4571</v>
      </c>
      <c r="D570" s="45" t="s">
        <v>7017</v>
      </c>
      <c r="E570" s="50"/>
      <c r="F570" s="58"/>
      <c r="G570" s="51"/>
      <c r="H570" s="51"/>
      <c r="I570" s="50" t="s">
        <v>4573</v>
      </c>
      <c r="J570" s="58" t="s">
        <v>4574</v>
      </c>
      <c r="K570" s="52" t="s">
        <v>130</v>
      </c>
      <c r="L570" s="59">
        <v>42597</v>
      </c>
      <c r="M570" s="60">
        <f>L570+90</f>
        <v>42687</v>
      </c>
      <c r="N570" s="51">
        <v>199467.58</v>
      </c>
      <c r="O570" s="59"/>
      <c r="P570" s="59" t="s">
        <v>7029</v>
      </c>
      <c r="Q570" s="51"/>
      <c r="R570" s="51">
        <f>N570+Q570</f>
        <v>199467.58</v>
      </c>
      <c r="S570" s="51">
        <v>32927.97</v>
      </c>
      <c r="T570" s="52" t="s">
        <v>52</v>
      </c>
      <c r="U570" s="51">
        <v>155751.96</v>
      </c>
      <c r="V570" s="51"/>
      <c r="W570" s="51"/>
      <c r="X570" s="51"/>
      <c r="Y570" s="19" t="s">
        <v>175</v>
      </c>
      <c r="Z570" s="19"/>
      <c r="AA570" s="28"/>
      <c r="AB570" s="56"/>
      <c r="AC570" s="28"/>
      <c r="AD570" s="28"/>
      <c r="AE570" s="54"/>
      <c r="AF570" s="54"/>
      <c r="AG570" s="54"/>
      <c r="AH570" s="53"/>
      <c r="AI570" s="53" t="s">
        <v>1591</v>
      </c>
      <c r="AJ570" s="53" t="s">
        <v>1591</v>
      </c>
    </row>
    <row r="571" spans="1:36" s="3" customFormat="1" ht="60" x14ac:dyDescent="0.25">
      <c r="A571" s="17" t="s">
        <v>905</v>
      </c>
      <c r="B571" s="18" t="s">
        <v>37</v>
      </c>
      <c r="C571" s="76" t="s">
        <v>4571</v>
      </c>
      <c r="D571" s="77" t="s">
        <v>4572</v>
      </c>
      <c r="E571" s="78"/>
      <c r="F571" s="79"/>
      <c r="G571" s="80"/>
      <c r="H571" s="80"/>
      <c r="I571" s="78" t="s">
        <v>4573</v>
      </c>
      <c r="J571" s="79" t="s">
        <v>4574</v>
      </c>
      <c r="K571" s="81" t="s">
        <v>130</v>
      </c>
      <c r="L571" s="82">
        <v>42597</v>
      </c>
      <c r="M571" s="83">
        <v>42687</v>
      </c>
      <c r="N571" s="80">
        <v>166539.60999999999</v>
      </c>
      <c r="O571" s="82"/>
      <c r="P571" s="84"/>
      <c r="Q571" s="80">
        <v>0</v>
      </c>
      <c r="R571" s="80">
        <v>166539.60999999999</v>
      </c>
      <c r="S571" s="80"/>
      <c r="T571" s="81" t="s">
        <v>52</v>
      </c>
      <c r="U571" s="80">
        <v>35440</v>
      </c>
      <c r="V571" s="80"/>
      <c r="W571" s="80"/>
      <c r="X571" s="80">
        <v>35440</v>
      </c>
      <c r="Y571" s="76" t="s">
        <v>4521</v>
      </c>
      <c r="Z571" s="19" t="s">
        <v>7038</v>
      </c>
      <c r="AA571" s="28"/>
      <c r="AB571" s="56"/>
      <c r="AC571" s="28"/>
      <c r="AD571" s="28"/>
      <c r="AE571" s="54"/>
      <c r="AF571" s="54"/>
      <c r="AG571" s="54"/>
      <c r="AH571" s="53"/>
      <c r="AI571" s="53" t="s">
        <v>1591</v>
      </c>
      <c r="AJ571" s="53" t="s">
        <v>1591</v>
      </c>
    </row>
    <row r="572" spans="1:36" s="3" customFormat="1" ht="96" x14ac:dyDescent="0.25">
      <c r="A572" s="17" t="s">
        <v>905</v>
      </c>
      <c r="B572" s="18" t="s">
        <v>37</v>
      </c>
      <c r="C572" s="19" t="s">
        <v>4587</v>
      </c>
      <c r="D572" s="45" t="s">
        <v>4588</v>
      </c>
      <c r="E572" s="50"/>
      <c r="F572" s="58"/>
      <c r="G572" s="51"/>
      <c r="H572" s="51"/>
      <c r="I572" s="50" t="s">
        <v>884</v>
      </c>
      <c r="J572" s="58" t="s">
        <v>4553</v>
      </c>
      <c r="K572" s="52" t="s">
        <v>917</v>
      </c>
      <c r="L572" s="59">
        <v>42436</v>
      </c>
      <c r="M572" s="60">
        <f>L572+45</f>
        <v>42481</v>
      </c>
      <c r="N572" s="51">
        <v>130218.99</v>
      </c>
      <c r="O572" s="59"/>
      <c r="P572" s="59" t="s">
        <v>7025</v>
      </c>
      <c r="Q572" s="51">
        <v>19101.45</v>
      </c>
      <c r="R572" s="51">
        <f>N572+Q572</f>
        <v>149320.44</v>
      </c>
      <c r="S572" s="51"/>
      <c r="T572" s="52"/>
      <c r="U572" s="51"/>
      <c r="V572" s="51"/>
      <c r="W572" s="51"/>
      <c r="X572" s="51">
        <v>114656.26</v>
      </c>
      <c r="Y572" s="19" t="s">
        <v>844</v>
      </c>
      <c r="Z572" s="19"/>
      <c r="AA572" s="28"/>
      <c r="AB572" s="56"/>
      <c r="AC572" s="28"/>
      <c r="AD572" s="28"/>
      <c r="AE572" s="54"/>
      <c r="AF572" s="54"/>
      <c r="AG572" s="54"/>
      <c r="AH572" s="53"/>
      <c r="AI572" s="53" t="s">
        <v>1591</v>
      </c>
      <c r="AJ572" s="53" t="s">
        <v>1591</v>
      </c>
    </row>
    <row r="573" spans="1:36" s="3" customFormat="1" ht="72" x14ac:dyDescent="0.25">
      <c r="A573" s="35" t="s">
        <v>905</v>
      </c>
      <c r="B573" s="34" t="s">
        <v>37</v>
      </c>
      <c r="C573" s="19" t="s">
        <v>7003</v>
      </c>
      <c r="D573" s="43" t="s">
        <v>7004</v>
      </c>
      <c r="E573" s="50"/>
      <c r="F573" s="36"/>
      <c r="G573" s="51"/>
      <c r="H573" s="51"/>
      <c r="I573" s="36" t="s">
        <v>315</v>
      </c>
      <c r="J573" s="34" t="s">
        <v>4456</v>
      </c>
      <c r="K573" s="37" t="s">
        <v>910</v>
      </c>
      <c r="L573" s="38">
        <v>41829</v>
      </c>
      <c r="M573" s="39">
        <f>L573+12*30</f>
        <v>42189</v>
      </c>
      <c r="N573" s="42">
        <v>146352.6</v>
      </c>
      <c r="O573" s="74"/>
      <c r="P573" s="39" t="s">
        <v>4575</v>
      </c>
      <c r="Q573" s="41"/>
      <c r="R573" s="51">
        <f>N573+Q573</f>
        <v>146352.6</v>
      </c>
      <c r="S573" s="51"/>
      <c r="T573" s="52" t="s">
        <v>52</v>
      </c>
      <c r="U573" s="51"/>
      <c r="V573" s="51"/>
      <c r="W573" s="42"/>
      <c r="X573" s="42">
        <v>105090.1</v>
      </c>
      <c r="Y573" s="34" t="s">
        <v>2097</v>
      </c>
      <c r="Z573" s="34"/>
      <c r="AA573" s="28"/>
      <c r="AB573" s="56"/>
      <c r="AC573" s="28"/>
      <c r="AD573" s="28"/>
      <c r="AE573" s="54"/>
      <c r="AF573" s="54"/>
      <c r="AG573" s="54"/>
      <c r="AH573" s="53"/>
      <c r="AI573" s="53" t="s">
        <v>1591</v>
      </c>
      <c r="AJ573" s="53" t="s">
        <v>1591</v>
      </c>
    </row>
    <row r="574" spans="1:36" s="3" customFormat="1" ht="36" x14ac:dyDescent="0.25">
      <c r="A574" s="35" t="s">
        <v>2853</v>
      </c>
      <c r="B574" s="18" t="s">
        <v>37</v>
      </c>
      <c r="C574" s="76"/>
      <c r="D574" s="43" t="s">
        <v>4576</v>
      </c>
      <c r="E574" s="78"/>
      <c r="F574" s="36"/>
      <c r="G574" s="80"/>
      <c r="H574" s="80"/>
      <c r="I574" s="36" t="s">
        <v>4577</v>
      </c>
      <c r="J574" s="34" t="s">
        <v>4578</v>
      </c>
      <c r="K574" s="37" t="s">
        <v>76</v>
      </c>
      <c r="L574" s="38">
        <v>41715</v>
      </c>
      <c r="M574" s="39">
        <v>41805</v>
      </c>
      <c r="N574" s="42">
        <v>143979.37</v>
      </c>
      <c r="O574" s="85"/>
      <c r="P574" s="86">
        <v>42264</v>
      </c>
      <c r="Q574" s="41"/>
      <c r="R574" s="41">
        <v>143979.37</v>
      </c>
      <c r="S574" s="80"/>
      <c r="T574" s="81"/>
      <c r="U574" s="80"/>
      <c r="V574" s="80"/>
      <c r="W574" s="42"/>
      <c r="X574" s="42">
        <v>120590.55</v>
      </c>
      <c r="Y574" s="34" t="s">
        <v>4321</v>
      </c>
      <c r="Z574" s="19" t="s">
        <v>7038</v>
      </c>
      <c r="AA574" s="28"/>
      <c r="AB574" s="56"/>
      <c r="AC574" s="28"/>
      <c r="AD574" s="28"/>
      <c r="AE574" s="54"/>
      <c r="AF574" s="54"/>
      <c r="AG574" s="54"/>
      <c r="AH574" s="53"/>
      <c r="AI574" s="53" t="s">
        <v>1591</v>
      </c>
      <c r="AJ574" s="53" t="s">
        <v>1591</v>
      </c>
    </row>
    <row r="575" spans="1:36" s="3" customFormat="1" ht="36" x14ac:dyDescent="0.25">
      <c r="A575" s="35" t="s">
        <v>2853</v>
      </c>
      <c r="B575" s="18" t="s">
        <v>37</v>
      </c>
      <c r="C575" s="76"/>
      <c r="D575" s="43" t="s">
        <v>4579</v>
      </c>
      <c r="E575" s="78"/>
      <c r="F575" s="36"/>
      <c r="G575" s="80"/>
      <c r="H575" s="80"/>
      <c r="I575" s="36" t="s">
        <v>976</v>
      </c>
      <c r="J575" s="34" t="s">
        <v>4580</v>
      </c>
      <c r="K575" s="37" t="s">
        <v>4581</v>
      </c>
      <c r="L575" s="38">
        <v>41963</v>
      </c>
      <c r="M575" s="39">
        <v>42113</v>
      </c>
      <c r="N575" s="42">
        <v>138602.57999999999</v>
      </c>
      <c r="O575" s="85"/>
      <c r="P575" s="86">
        <v>42266</v>
      </c>
      <c r="Q575" s="41"/>
      <c r="R575" s="41">
        <v>138602.57999999999</v>
      </c>
      <c r="S575" s="80"/>
      <c r="T575" s="81"/>
      <c r="U575" s="80"/>
      <c r="V575" s="80"/>
      <c r="W575" s="42"/>
      <c r="X575" s="42">
        <v>116966.98</v>
      </c>
      <c r="Y575" s="34" t="s">
        <v>4321</v>
      </c>
      <c r="Z575" s="19" t="s">
        <v>7038</v>
      </c>
      <c r="AA575" s="28"/>
      <c r="AB575" s="56"/>
      <c r="AC575" s="28"/>
      <c r="AD575" s="28"/>
      <c r="AE575" s="54"/>
      <c r="AF575" s="54"/>
      <c r="AG575" s="54"/>
      <c r="AH575" s="53"/>
      <c r="AI575" s="53" t="s">
        <v>1591</v>
      </c>
      <c r="AJ575" s="53" t="s">
        <v>1591</v>
      </c>
    </row>
    <row r="576" spans="1:36" s="3" customFormat="1" ht="60" x14ac:dyDescent="0.25">
      <c r="A576" s="17" t="s">
        <v>905</v>
      </c>
      <c r="B576" s="18" t="s">
        <v>37</v>
      </c>
      <c r="C576" s="19" t="s">
        <v>4582</v>
      </c>
      <c r="D576" s="45" t="s">
        <v>4583</v>
      </c>
      <c r="E576" s="50"/>
      <c r="F576" s="58"/>
      <c r="G576" s="51"/>
      <c r="H576" s="51"/>
      <c r="I576" s="50" t="s">
        <v>4584</v>
      </c>
      <c r="J576" s="58" t="s">
        <v>4585</v>
      </c>
      <c r="K576" s="52" t="s">
        <v>655</v>
      </c>
      <c r="L576" s="59">
        <v>42488</v>
      </c>
      <c r="M576" s="60">
        <f>L576+90</f>
        <v>42578</v>
      </c>
      <c r="N576" s="51">
        <v>136132.32</v>
      </c>
      <c r="O576" s="59"/>
      <c r="P576" s="59" t="s">
        <v>4586</v>
      </c>
      <c r="Q576" s="51"/>
      <c r="R576" s="51">
        <f>N576+Q576</f>
        <v>136132.32</v>
      </c>
      <c r="S576" s="51"/>
      <c r="T576" s="52" t="s">
        <v>52</v>
      </c>
      <c r="U576" s="51"/>
      <c r="V576" s="51"/>
      <c r="W576" s="51"/>
      <c r="X576" s="51">
        <v>22731.08</v>
      </c>
      <c r="Y576" s="19" t="s">
        <v>175</v>
      </c>
      <c r="Z576" s="19"/>
      <c r="AA576" s="28"/>
      <c r="AB576" s="56"/>
      <c r="AC576" s="28"/>
      <c r="AD576" s="28"/>
      <c r="AE576" s="54"/>
      <c r="AF576" s="54"/>
      <c r="AG576" s="54"/>
      <c r="AH576" s="53"/>
      <c r="AI576" s="53" t="s">
        <v>1591</v>
      </c>
      <c r="AJ576" s="53" t="s">
        <v>1591</v>
      </c>
    </row>
    <row r="577" spans="1:36" s="3" customFormat="1" ht="36" x14ac:dyDescent="0.25">
      <c r="A577" s="35" t="s">
        <v>2853</v>
      </c>
      <c r="B577" s="18" t="s">
        <v>37</v>
      </c>
      <c r="C577" s="76"/>
      <c r="D577" s="43" t="s">
        <v>4592</v>
      </c>
      <c r="E577" s="78"/>
      <c r="F577" s="36"/>
      <c r="G577" s="80"/>
      <c r="H577" s="80"/>
      <c r="I577" s="36" t="s">
        <v>900</v>
      </c>
      <c r="J577" s="34" t="s">
        <v>4541</v>
      </c>
      <c r="K577" s="37" t="s">
        <v>4593</v>
      </c>
      <c r="L577" s="38">
        <v>42236</v>
      </c>
      <c r="M577" s="39">
        <v>42266</v>
      </c>
      <c r="N577" s="42">
        <v>36718.01</v>
      </c>
      <c r="O577" s="85"/>
      <c r="P577" s="86">
        <v>42265</v>
      </c>
      <c r="Q577" s="41"/>
      <c r="R577" s="41">
        <v>36718.01</v>
      </c>
      <c r="S577" s="80"/>
      <c r="T577" s="81"/>
      <c r="U577" s="80"/>
      <c r="V577" s="80"/>
      <c r="W577" s="42"/>
      <c r="X577" s="42">
        <v>15616.46</v>
      </c>
      <c r="Y577" s="34" t="s">
        <v>4321</v>
      </c>
      <c r="Z577" s="19" t="s">
        <v>7038</v>
      </c>
      <c r="AA577" s="28"/>
      <c r="AB577" s="56"/>
      <c r="AC577" s="28"/>
      <c r="AD577" s="28"/>
      <c r="AE577" s="54"/>
      <c r="AF577" s="54"/>
      <c r="AG577" s="54"/>
      <c r="AH577" s="53"/>
      <c r="AI577" s="53" t="s">
        <v>1591</v>
      </c>
      <c r="AJ577" s="53" t="s">
        <v>1591</v>
      </c>
    </row>
    <row r="578" spans="1:36" s="3" customFormat="1" ht="48" x14ac:dyDescent="0.25">
      <c r="A578" s="17" t="s">
        <v>922</v>
      </c>
      <c r="B578" s="18" t="s">
        <v>37</v>
      </c>
      <c r="C578" s="19" t="s">
        <v>59</v>
      </c>
      <c r="D578" s="45" t="s">
        <v>3429</v>
      </c>
      <c r="E578" s="50"/>
      <c r="F578" s="58" t="s">
        <v>1046</v>
      </c>
      <c r="G578" s="51"/>
      <c r="H578" s="51"/>
      <c r="I578" s="50" t="s">
        <v>930</v>
      </c>
      <c r="J578" s="58" t="s">
        <v>3713</v>
      </c>
      <c r="K578" s="52" t="s">
        <v>1394</v>
      </c>
      <c r="L578" s="59">
        <v>41422</v>
      </c>
      <c r="M578" s="60">
        <f>L578+365</f>
        <v>41787</v>
      </c>
      <c r="N578" s="51">
        <v>1733297.15</v>
      </c>
      <c r="O578" s="59"/>
      <c r="P578" s="59">
        <f>M578+1440</f>
        <v>43227</v>
      </c>
      <c r="Q578" s="51"/>
      <c r="R578" s="51">
        <f>N578+Q578</f>
        <v>1733297.15</v>
      </c>
      <c r="S578" s="51"/>
      <c r="T578" s="52" t="s">
        <v>1139</v>
      </c>
      <c r="U578" s="51">
        <v>59765.48</v>
      </c>
      <c r="V578" s="51">
        <v>59765.48</v>
      </c>
      <c r="W578" s="51">
        <v>59765.48</v>
      </c>
      <c r="X578" s="51">
        <v>59765.48</v>
      </c>
      <c r="Y578" s="19" t="s">
        <v>202</v>
      </c>
      <c r="Z578" s="19"/>
      <c r="AA578" s="28" t="s">
        <v>7519</v>
      </c>
      <c r="AB578" s="56">
        <v>43418</v>
      </c>
      <c r="AC578" s="28" t="s">
        <v>7520</v>
      </c>
      <c r="AD578" s="28" t="s">
        <v>7521</v>
      </c>
      <c r="AE578" s="54" t="s">
        <v>7522</v>
      </c>
      <c r="AF578" s="54"/>
      <c r="AG578" s="54" t="s">
        <v>7523</v>
      </c>
      <c r="AH578" s="53" t="s">
        <v>1591</v>
      </c>
      <c r="AI578" s="53" t="s">
        <v>2686</v>
      </c>
      <c r="AJ578" s="53" t="s">
        <v>1591</v>
      </c>
    </row>
    <row r="579" spans="1:36" s="3" customFormat="1" ht="60" x14ac:dyDescent="0.25">
      <c r="A579" s="17" t="s">
        <v>922</v>
      </c>
      <c r="B579" s="18" t="s">
        <v>37</v>
      </c>
      <c r="C579" s="76" t="s">
        <v>4597</v>
      </c>
      <c r="D579" s="45" t="s">
        <v>4598</v>
      </c>
      <c r="E579" s="78" t="s">
        <v>421</v>
      </c>
      <c r="F579" s="79" t="s">
        <v>4599</v>
      </c>
      <c r="G579" s="80">
        <v>617952.96</v>
      </c>
      <c r="H579" s="80">
        <v>85409.32</v>
      </c>
      <c r="I579" s="78" t="s">
        <v>926</v>
      </c>
      <c r="J579" s="79" t="s">
        <v>4594</v>
      </c>
      <c r="K579" s="81" t="s">
        <v>421</v>
      </c>
      <c r="L579" s="82">
        <v>42674</v>
      </c>
      <c r="M579" s="83" t="s">
        <v>4600</v>
      </c>
      <c r="N579" s="80">
        <v>682177.59</v>
      </c>
      <c r="O579" s="82" t="s">
        <v>46</v>
      </c>
      <c r="P579" s="84" t="s">
        <v>46</v>
      </c>
      <c r="Q579" s="80">
        <v>0</v>
      </c>
      <c r="R579" s="80">
        <v>682177.59</v>
      </c>
      <c r="S579" s="80" t="s">
        <v>46</v>
      </c>
      <c r="T579" s="81" t="s">
        <v>579</v>
      </c>
      <c r="U579" s="80"/>
      <c r="V579" s="80"/>
      <c r="W579" s="80"/>
      <c r="X579" s="80"/>
      <c r="Y579" s="76" t="s">
        <v>133</v>
      </c>
      <c r="Z579" s="19" t="s">
        <v>7038</v>
      </c>
      <c r="AA579" s="28" t="s">
        <v>7519</v>
      </c>
      <c r="AB579" s="56">
        <v>43418</v>
      </c>
      <c r="AC579" s="28" t="s">
        <v>7520</v>
      </c>
      <c r="AD579" s="28" t="s">
        <v>7521</v>
      </c>
      <c r="AE579" s="54" t="s">
        <v>7524</v>
      </c>
      <c r="AF579" s="54"/>
      <c r="AG579" s="54" t="s">
        <v>7525</v>
      </c>
      <c r="AH579" s="53" t="s">
        <v>1591</v>
      </c>
      <c r="AI579" s="53" t="s">
        <v>2686</v>
      </c>
      <c r="AJ579" s="53" t="s">
        <v>1591</v>
      </c>
    </row>
    <row r="580" spans="1:36" s="3" customFormat="1" ht="36" x14ac:dyDescent="0.25">
      <c r="A580" s="17" t="s">
        <v>922</v>
      </c>
      <c r="B580" s="18" t="s">
        <v>37</v>
      </c>
      <c r="C580" s="76" t="s">
        <v>4602</v>
      </c>
      <c r="D580" s="45" t="s">
        <v>4603</v>
      </c>
      <c r="E580" s="78" t="s">
        <v>928</v>
      </c>
      <c r="F580" s="79" t="s">
        <v>677</v>
      </c>
      <c r="G580" s="80">
        <v>304680.88</v>
      </c>
      <c r="H580" s="80">
        <v>124680.88</v>
      </c>
      <c r="I580" s="78"/>
      <c r="J580" s="79" t="s">
        <v>4604</v>
      </c>
      <c r="K580" s="81" t="s">
        <v>473</v>
      </c>
      <c r="L580" s="82"/>
      <c r="M580" s="83"/>
      <c r="N580" s="80"/>
      <c r="O580" s="82" t="s">
        <v>46</v>
      </c>
      <c r="P580" s="84" t="s">
        <v>4595</v>
      </c>
      <c r="Q580" s="80">
        <v>0</v>
      </c>
      <c r="R580" s="80"/>
      <c r="S580" s="80"/>
      <c r="T580" s="81" t="s">
        <v>46</v>
      </c>
      <c r="U580" s="80"/>
      <c r="V580" s="80"/>
      <c r="W580" s="80"/>
      <c r="X580" s="80"/>
      <c r="Y580" s="76" t="s">
        <v>133</v>
      </c>
      <c r="Z580" s="19" t="s">
        <v>7038</v>
      </c>
      <c r="AA580" s="28" t="s">
        <v>7519</v>
      </c>
      <c r="AB580" s="56">
        <v>43418</v>
      </c>
      <c r="AC580" s="28" t="s">
        <v>7520</v>
      </c>
      <c r="AD580" s="28" t="s">
        <v>7521</v>
      </c>
      <c r="AE580" s="54" t="s">
        <v>7526</v>
      </c>
      <c r="AF580" s="54"/>
      <c r="AG580" s="54" t="s">
        <v>7527</v>
      </c>
      <c r="AH580" s="53" t="s">
        <v>1591</v>
      </c>
      <c r="AI580" s="53" t="s">
        <v>2686</v>
      </c>
      <c r="AJ580" s="53" t="s">
        <v>1591</v>
      </c>
    </row>
    <row r="581" spans="1:36" s="3" customFormat="1" ht="36" x14ac:dyDescent="0.25">
      <c r="A581" s="17" t="s">
        <v>922</v>
      </c>
      <c r="B581" s="18" t="s">
        <v>37</v>
      </c>
      <c r="C581" s="76" t="s">
        <v>4605</v>
      </c>
      <c r="D581" s="45" t="s">
        <v>4606</v>
      </c>
      <c r="E581" s="78" t="s">
        <v>300</v>
      </c>
      <c r="F581" s="79" t="s">
        <v>4607</v>
      </c>
      <c r="G581" s="80">
        <v>463146.97</v>
      </c>
      <c r="H581" s="80">
        <v>55146.97</v>
      </c>
      <c r="I581" s="78" t="s">
        <v>926</v>
      </c>
      <c r="J581" s="79" t="s">
        <v>4594</v>
      </c>
      <c r="K581" s="81" t="s">
        <v>46</v>
      </c>
      <c r="L581" s="82">
        <v>41632</v>
      </c>
      <c r="M581" s="83">
        <v>42728</v>
      </c>
      <c r="N581" s="80"/>
      <c r="O581" s="82" t="s">
        <v>46</v>
      </c>
      <c r="P581" s="84" t="s">
        <v>4595</v>
      </c>
      <c r="Q581" s="80">
        <v>0</v>
      </c>
      <c r="R581" s="80"/>
      <c r="S581" s="80"/>
      <c r="T581" s="81" t="s">
        <v>46</v>
      </c>
      <c r="U581" s="80"/>
      <c r="V581" s="80"/>
      <c r="W581" s="80"/>
      <c r="X581" s="80"/>
      <c r="Y581" s="76" t="s">
        <v>133</v>
      </c>
      <c r="Z581" s="19" t="s">
        <v>7038</v>
      </c>
      <c r="AA581" s="28" t="s">
        <v>7519</v>
      </c>
      <c r="AB581" s="56">
        <v>43418</v>
      </c>
      <c r="AC581" s="28" t="s">
        <v>7520</v>
      </c>
      <c r="AD581" s="28" t="s">
        <v>7521</v>
      </c>
      <c r="AE581" s="54" t="s">
        <v>7528</v>
      </c>
      <c r="AF581" s="54"/>
      <c r="AG581" s="54" t="s">
        <v>7529</v>
      </c>
      <c r="AH581" s="53" t="s">
        <v>1591</v>
      </c>
      <c r="AI581" s="53" t="s">
        <v>2686</v>
      </c>
      <c r="AJ581" s="53" t="s">
        <v>1591</v>
      </c>
    </row>
    <row r="582" spans="1:36" s="3" customFormat="1" ht="60" x14ac:dyDescent="0.25">
      <c r="A582" s="35" t="s">
        <v>931</v>
      </c>
      <c r="B582" s="18" t="s">
        <v>37</v>
      </c>
      <c r="C582" s="19" t="s">
        <v>932</v>
      </c>
      <c r="D582" s="43" t="s">
        <v>933</v>
      </c>
      <c r="E582" s="50" t="s">
        <v>934</v>
      </c>
      <c r="F582" s="36" t="s">
        <v>935</v>
      </c>
      <c r="G582" s="51">
        <v>1400000</v>
      </c>
      <c r="H582" s="51">
        <v>519786.97</v>
      </c>
      <c r="I582" s="36" t="s">
        <v>53</v>
      </c>
      <c r="J582" s="34" t="s">
        <v>936</v>
      </c>
      <c r="K582" s="37" t="s">
        <v>927</v>
      </c>
      <c r="L582" s="38">
        <v>41709</v>
      </c>
      <c r="M582" s="39">
        <f>L582+210</f>
        <v>41919</v>
      </c>
      <c r="N582" s="42">
        <v>1702530.13</v>
      </c>
      <c r="O582" s="74">
        <v>42740</v>
      </c>
      <c r="P582" s="39">
        <v>0</v>
      </c>
      <c r="Q582" s="41">
        <v>217256.84</v>
      </c>
      <c r="R582" s="51">
        <f t="shared" ref="R582:R592" si="26">N582+Q582</f>
        <v>1919786.97</v>
      </c>
      <c r="S582" s="51">
        <v>0</v>
      </c>
      <c r="T582" s="52" t="s">
        <v>52</v>
      </c>
      <c r="U582" s="51">
        <v>1753400.92</v>
      </c>
      <c r="V582" s="51" t="s">
        <v>3927</v>
      </c>
      <c r="W582" s="42"/>
      <c r="X582" s="42">
        <v>1753400.92</v>
      </c>
      <c r="Y582" s="34" t="s">
        <v>3926</v>
      </c>
      <c r="Z582" s="34"/>
      <c r="AA582" s="28" t="s">
        <v>7530</v>
      </c>
      <c r="AB582" s="56">
        <v>43413</v>
      </c>
      <c r="AC582" s="28" t="s">
        <v>7531</v>
      </c>
      <c r="AD582" s="28" t="s">
        <v>7532</v>
      </c>
      <c r="AE582" s="54" t="s">
        <v>7533</v>
      </c>
      <c r="AF582" s="54"/>
      <c r="AG582" s="54" t="s">
        <v>7534</v>
      </c>
      <c r="AH582" s="53" t="s">
        <v>1591</v>
      </c>
      <c r="AI582" s="53" t="s">
        <v>2686</v>
      </c>
      <c r="AJ582" s="53" t="s">
        <v>1591</v>
      </c>
    </row>
    <row r="583" spans="1:36" s="3" customFormat="1" ht="48" x14ac:dyDescent="0.25">
      <c r="A583" s="35" t="s">
        <v>931</v>
      </c>
      <c r="B583" s="18" t="s">
        <v>37</v>
      </c>
      <c r="C583" s="19" t="s">
        <v>3430</v>
      </c>
      <c r="D583" s="43" t="s">
        <v>947</v>
      </c>
      <c r="E583" s="50" t="s">
        <v>3714</v>
      </c>
      <c r="F583" s="36" t="s">
        <v>945</v>
      </c>
      <c r="G583" s="51">
        <v>489999.99</v>
      </c>
      <c r="H583" s="51">
        <v>12548.65</v>
      </c>
      <c r="I583" s="36" t="s">
        <v>499</v>
      </c>
      <c r="J583" s="34" t="s">
        <v>3715</v>
      </c>
      <c r="K583" s="37" t="s">
        <v>3716</v>
      </c>
      <c r="L583" s="38">
        <v>41090</v>
      </c>
      <c r="M583" s="39">
        <f>L583+180</f>
        <v>41270</v>
      </c>
      <c r="N583" s="42">
        <v>502548.64</v>
      </c>
      <c r="O583" s="74" t="s">
        <v>180</v>
      </c>
      <c r="P583" s="39">
        <v>0</v>
      </c>
      <c r="Q583" s="41">
        <v>0</v>
      </c>
      <c r="R583" s="51">
        <f t="shared" si="26"/>
        <v>502548.64</v>
      </c>
      <c r="S583" s="51">
        <v>0</v>
      </c>
      <c r="T583" s="52" t="s">
        <v>448</v>
      </c>
      <c r="U583" s="51">
        <v>90180.38</v>
      </c>
      <c r="V583" s="51">
        <v>0</v>
      </c>
      <c r="W583" s="42">
        <v>0</v>
      </c>
      <c r="X583" s="42">
        <v>90180.38</v>
      </c>
      <c r="Y583" s="34" t="s">
        <v>3926</v>
      </c>
      <c r="Z583" s="34"/>
      <c r="AA583" s="28" t="s">
        <v>7530</v>
      </c>
      <c r="AB583" s="56">
        <v>43413</v>
      </c>
      <c r="AC583" s="28" t="s">
        <v>7531</v>
      </c>
      <c r="AD583" s="28" t="s">
        <v>7532</v>
      </c>
      <c r="AE583" s="54" t="s">
        <v>7535</v>
      </c>
      <c r="AF583" s="54"/>
      <c r="AG583" s="54" t="s">
        <v>4936</v>
      </c>
      <c r="AH583" s="53" t="s">
        <v>1591</v>
      </c>
      <c r="AI583" s="53" t="s">
        <v>2686</v>
      </c>
      <c r="AJ583" s="53" t="s">
        <v>1591</v>
      </c>
    </row>
    <row r="584" spans="1:36" s="3" customFormat="1" ht="48" x14ac:dyDescent="0.25">
      <c r="A584" s="17" t="s">
        <v>931</v>
      </c>
      <c r="B584" s="18" t="s">
        <v>37</v>
      </c>
      <c r="C584" s="19" t="s">
        <v>937</v>
      </c>
      <c r="D584" s="45" t="s">
        <v>944</v>
      </c>
      <c r="E584" s="50" t="s">
        <v>939</v>
      </c>
      <c r="F584" s="58" t="s">
        <v>935</v>
      </c>
      <c r="G584" s="51">
        <v>75000</v>
      </c>
      <c r="H584" s="51">
        <v>0</v>
      </c>
      <c r="I584" s="50" t="s">
        <v>940</v>
      </c>
      <c r="J584" s="58" t="s">
        <v>941</v>
      </c>
      <c r="K584" s="52" t="s">
        <v>942</v>
      </c>
      <c r="L584" s="59">
        <v>41974</v>
      </c>
      <c r="M584" s="60">
        <f>L584+151</f>
        <v>42125</v>
      </c>
      <c r="N584" s="51">
        <v>133350</v>
      </c>
      <c r="O584" s="59">
        <v>42124</v>
      </c>
      <c r="P584" s="59">
        <v>0</v>
      </c>
      <c r="Q584" s="51">
        <v>52154.32</v>
      </c>
      <c r="R584" s="51">
        <f t="shared" si="26"/>
        <v>185504.32</v>
      </c>
      <c r="S584" s="51">
        <v>0</v>
      </c>
      <c r="T584" s="52" t="s">
        <v>52</v>
      </c>
      <c r="U584" s="51">
        <v>52019.65</v>
      </c>
      <c r="V584" s="51" t="s">
        <v>3927</v>
      </c>
      <c r="W584" s="51"/>
      <c r="X584" s="51">
        <v>52019.65</v>
      </c>
      <c r="Y584" s="19" t="s">
        <v>437</v>
      </c>
      <c r="Z584" s="19"/>
      <c r="AA584" s="28" t="s">
        <v>7530</v>
      </c>
      <c r="AB584" s="56">
        <v>43413</v>
      </c>
      <c r="AC584" s="28" t="s">
        <v>7531</v>
      </c>
      <c r="AD584" s="28" t="s">
        <v>7532</v>
      </c>
      <c r="AE584" s="54" t="s">
        <v>7536</v>
      </c>
      <c r="AF584" s="54"/>
      <c r="AG584" s="54" t="s">
        <v>4936</v>
      </c>
      <c r="AH584" s="53" t="s">
        <v>1591</v>
      </c>
      <c r="AI584" s="53" t="s">
        <v>2686</v>
      </c>
      <c r="AJ584" s="53" t="s">
        <v>1591</v>
      </c>
    </row>
    <row r="585" spans="1:36" s="3" customFormat="1" ht="48" x14ac:dyDescent="0.25">
      <c r="A585" s="17" t="s">
        <v>931</v>
      </c>
      <c r="B585" s="18" t="s">
        <v>37</v>
      </c>
      <c r="C585" s="19" t="s">
        <v>937</v>
      </c>
      <c r="D585" s="45" t="s">
        <v>943</v>
      </c>
      <c r="E585" s="50" t="s">
        <v>939</v>
      </c>
      <c r="F585" s="58" t="s">
        <v>935</v>
      </c>
      <c r="G585" s="51">
        <v>74850</v>
      </c>
      <c r="H585" s="51">
        <v>0</v>
      </c>
      <c r="I585" s="50" t="s">
        <v>940</v>
      </c>
      <c r="J585" s="58" t="s">
        <v>941</v>
      </c>
      <c r="K585" s="52" t="s">
        <v>942</v>
      </c>
      <c r="L585" s="59">
        <v>41974</v>
      </c>
      <c r="M585" s="60">
        <f>L585+151</f>
        <v>42125</v>
      </c>
      <c r="N585" s="51">
        <v>133350</v>
      </c>
      <c r="O585" s="59">
        <v>42124</v>
      </c>
      <c r="P585" s="59">
        <v>0</v>
      </c>
      <c r="Q585" s="51">
        <v>52154.32</v>
      </c>
      <c r="R585" s="51">
        <f t="shared" si="26"/>
        <v>185504.32</v>
      </c>
      <c r="S585" s="51">
        <v>0</v>
      </c>
      <c r="T585" s="52" t="s">
        <v>52</v>
      </c>
      <c r="U585" s="51">
        <v>55862.39</v>
      </c>
      <c r="V585" s="51" t="s">
        <v>3927</v>
      </c>
      <c r="W585" s="51"/>
      <c r="X585" s="51">
        <v>55862.39</v>
      </c>
      <c r="Y585" s="19" t="s">
        <v>437</v>
      </c>
      <c r="Z585" s="19"/>
      <c r="AA585" s="28" t="s">
        <v>7530</v>
      </c>
      <c r="AB585" s="56">
        <v>43413</v>
      </c>
      <c r="AC585" s="28" t="s">
        <v>7531</v>
      </c>
      <c r="AD585" s="28" t="s">
        <v>7532</v>
      </c>
      <c r="AE585" s="54" t="s">
        <v>7536</v>
      </c>
      <c r="AF585" s="54"/>
      <c r="AG585" s="54" t="s">
        <v>4936</v>
      </c>
      <c r="AH585" s="53" t="s">
        <v>1591</v>
      </c>
      <c r="AI585" s="53" t="s">
        <v>2686</v>
      </c>
      <c r="AJ585" s="53" t="s">
        <v>1591</v>
      </c>
    </row>
    <row r="586" spans="1:36" s="3" customFormat="1" ht="48" x14ac:dyDescent="0.25">
      <c r="A586" s="35" t="s">
        <v>931</v>
      </c>
      <c r="B586" s="18" t="s">
        <v>37</v>
      </c>
      <c r="C586" s="19" t="s">
        <v>937</v>
      </c>
      <c r="D586" s="43" t="s">
        <v>938</v>
      </c>
      <c r="E586" s="50" t="s">
        <v>939</v>
      </c>
      <c r="F586" s="36" t="s">
        <v>935</v>
      </c>
      <c r="G586" s="51">
        <v>81390</v>
      </c>
      <c r="H586" s="51">
        <v>0</v>
      </c>
      <c r="I586" s="36" t="s">
        <v>940</v>
      </c>
      <c r="J586" s="34" t="s">
        <v>941</v>
      </c>
      <c r="K586" s="37" t="s">
        <v>942</v>
      </c>
      <c r="L586" s="38">
        <v>41974</v>
      </c>
      <c r="M586" s="39">
        <f>L586+151</f>
        <v>42125</v>
      </c>
      <c r="N586" s="42">
        <v>133350</v>
      </c>
      <c r="O586" s="74">
        <v>42124</v>
      </c>
      <c r="P586" s="39">
        <v>0</v>
      </c>
      <c r="Q586" s="41">
        <v>52154.32</v>
      </c>
      <c r="R586" s="51">
        <f t="shared" si="26"/>
        <v>185504.32</v>
      </c>
      <c r="S586" s="51">
        <v>0</v>
      </c>
      <c r="T586" s="52" t="s">
        <v>52</v>
      </c>
      <c r="U586" s="51">
        <v>61983.75</v>
      </c>
      <c r="V586" s="51" t="s">
        <v>3927</v>
      </c>
      <c r="W586" s="42"/>
      <c r="X586" s="42">
        <v>61983.75</v>
      </c>
      <c r="Y586" s="34" t="s">
        <v>3926</v>
      </c>
      <c r="Z586" s="34"/>
      <c r="AA586" s="28" t="s">
        <v>7530</v>
      </c>
      <c r="AB586" s="56">
        <v>43413</v>
      </c>
      <c r="AC586" s="28" t="s">
        <v>7531</v>
      </c>
      <c r="AD586" s="28" t="s">
        <v>7532</v>
      </c>
      <c r="AE586" s="54" t="s">
        <v>7536</v>
      </c>
      <c r="AF586" s="54"/>
      <c r="AG586" s="54" t="s">
        <v>4936</v>
      </c>
      <c r="AH586" s="53" t="s">
        <v>1591</v>
      </c>
      <c r="AI586" s="53" t="s">
        <v>2686</v>
      </c>
      <c r="AJ586" s="53" t="s">
        <v>1591</v>
      </c>
    </row>
    <row r="587" spans="1:36" s="3" customFormat="1" ht="132" x14ac:dyDescent="0.25">
      <c r="A587" s="17" t="s">
        <v>949</v>
      </c>
      <c r="B587" s="18" t="s">
        <v>37</v>
      </c>
      <c r="C587" s="19" t="s">
        <v>1272</v>
      </c>
      <c r="D587" s="45" t="s">
        <v>3432</v>
      </c>
      <c r="E587" s="50" t="s">
        <v>951</v>
      </c>
      <c r="F587" s="58" t="s">
        <v>3719</v>
      </c>
      <c r="G587" s="51">
        <v>2362810.1800000002</v>
      </c>
      <c r="H587" s="51">
        <v>60000</v>
      </c>
      <c r="I587" s="50" t="s">
        <v>958</v>
      </c>
      <c r="J587" s="58" t="s">
        <v>3720</v>
      </c>
      <c r="K587" s="52" t="s">
        <v>961</v>
      </c>
      <c r="L587" s="59">
        <v>42095</v>
      </c>
      <c r="M587" s="60">
        <f>L587+180</f>
        <v>42275</v>
      </c>
      <c r="N587" s="51">
        <v>2398547.5699999998</v>
      </c>
      <c r="O587" s="59" t="s">
        <v>3717</v>
      </c>
      <c r="P587" s="59">
        <f>M587+900</f>
        <v>43175</v>
      </c>
      <c r="Q587" s="51"/>
      <c r="R587" s="51">
        <f t="shared" si="26"/>
        <v>2398547.5699999998</v>
      </c>
      <c r="S587" s="51" t="s">
        <v>3717</v>
      </c>
      <c r="T587" s="52" t="s">
        <v>52</v>
      </c>
      <c r="U587" s="51">
        <v>1633024.59</v>
      </c>
      <c r="V587" s="51" t="s">
        <v>3717</v>
      </c>
      <c r="W587" s="51">
        <v>358280.16</v>
      </c>
      <c r="X587" s="51">
        <v>1633024.59</v>
      </c>
      <c r="Y587" s="19" t="s">
        <v>175</v>
      </c>
      <c r="Z587" s="19"/>
      <c r="AA587" s="28" t="s">
        <v>8442</v>
      </c>
      <c r="AB587" s="56">
        <v>43411</v>
      </c>
      <c r="AC587" s="28" t="s">
        <v>7537</v>
      </c>
      <c r="AD587" s="28" t="s">
        <v>7538</v>
      </c>
      <c r="AE587" s="54" t="s">
        <v>7539</v>
      </c>
      <c r="AF587" s="54"/>
      <c r="AG587" s="54" t="s">
        <v>7540</v>
      </c>
      <c r="AH587" s="53" t="s">
        <v>1591</v>
      </c>
      <c r="AI587" s="53" t="s">
        <v>2686</v>
      </c>
      <c r="AJ587" s="53" t="s">
        <v>1591</v>
      </c>
    </row>
    <row r="588" spans="1:36" s="3" customFormat="1" ht="96" x14ac:dyDescent="0.25">
      <c r="A588" s="17" t="s">
        <v>949</v>
      </c>
      <c r="B588" s="18" t="s">
        <v>37</v>
      </c>
      <c r="C588" s="19" t="s">
        <v>3436</v>
      </c>
      <c r="D588" s="45" t="s">
        <v>3437</v>
      </c>
      <c r="E588" s="50" t="s">
        <v>1525</v>
      </c>
      <c r="F588" s="58" t="s">
        <v>3726</v>
      </c>
      <c r="G588" s="51">
        <v>1835931.73</v>
      </c>
      <c r="H588" s="51"/>
      <c r="I588" s="50" t="s">
        <v>343</v>
      </c>
      <c r="J588" s="58" t="s">
        <v>3727</v>
      </c>
      <c r="K588" s="52" t="s">
        <v>3191</v>
      </c>
      <c r="L588" s="59">
        <v>42940</v>
      </c>
      <c r="M588" s="60">
        <f>L588+180</f>
        <v>43120</v>
      </c>
      <c r="N588" s="51">
        <v>1659099.52</v>
      </c>
      <c r="O588" s="59" t="s">
        <v>3717</v>
      </c>
      <c r="P588" s="59">
        <v>0</v>
      </c>
      <c r="Q588" s="51"/>
      <c r="R588" s="51">
        <f t="shared" si="26"/>
        <v>1659099.52</v>
      </c>
      <c r="S588" s="51" t="s">
        <v>3717</v>
      </c>
      <c r="T588" s="52" t="s">
        <v>52</v>
      </c>
      <c r="U588" s="51" t="s">
        <v>3717</v>
      </c>
      <c r="V588" s="51" t="s">
        <v>3717</v>
      </c>
      <c r="W588" s="51"/>
      <c r="X588" s="51"/>
      <c r="Y588" s="19" t="s">
        <v>175</v>
      </c>
      <c r="Z588" s="19"/>
      <c r="AA588" s="28" t="s">
        <v>8442</v>
      </c>
      <c r="AB588" s="56">
        <v>43411</v>
      </c>
      <c r="AC588" s="28" t="s">
        <v>7537</v>
      </c>
      <c r="AD588" s="28" t="s">
        <v>7538</v>
      </c>
      <c r="AE588" s="54" t="s">
        <v>7541</v>
      </c>
      <c r="AF588" s="54"/>
      <c r="AG588" s="54" t="s">
        <v>7542</v>
      </c>
      <c r="AH588" s="53" t="s">
        <v>1591</v>
      </c>
      <c r="AI588" s="53" t="s">
        <v>2686</v>
      </c>
      <c r="AJ588" s="53" t="s">
        <v>1591</v>
      </c>
    </row>
    <row r="589" spans="1:36" s="3" customFormat="1" ht="36" x14ac:dyDescent="0.25">
      <c r="A589" s="17" t="s">
        <v>949</v>
      </c>
      <c r="B589" s="18" t="s">
        <v>37</v>
      </c>
      <c r="C589" s="19" t="s">
        <v>1873</v>
      </c>
      <c r="D589" s="45" t="s">
        <v>3435</v>
      </c>
      <c r="E589" s="50" t="s">
        <v>3723</v>
      </c>
      <c r="F589" s="58" t="s">
        <v>3724</v>
      </c>
      <c r="G589" s="51">
        <v>1207347.3</v>
      </c>
      <c r="H589" s="51">
        <v>50271</v>
      </c>
      <c r="I589" s="50" t="s">
        <v>956</v>
      </c>
      <c r="J589" s="58" t="s">
        <v>3725</v>
      </c>
      <c r="K589" s="52" t="s">
        <v>957</v>
      </c>
      <c r="L589" s="59"/>
      <c r="M589" s="60"/>
      <c r="N589" s="51">
        <v>1252427.92</v>
      </c>
      <c r="O589" s="59" t="s">
        <v>3717</v>
      </c>
      <c r="P589" s="59"/>
      <c r="Q589" s="51">
        <v>189537.26</v>
      </c>
      <c r="R589" s="51">
        <f t="shared" si="26"/>
        <v>1441965.18</v>
      </c>
      <c r="S589" s="51">
        <v>24830.83</v>
      </c>
      <c r="T589" s="52" t="s">
        <v>52</v>
      </c>
      <c r="U589" s="51">
        <v>1176092.07</v>
      </c>
      <c r="V589" s="51" t="s">
        <v>3717</v>
      </c>
      <c r="W589" s="51">
        <v>20741.580000000002</v>
      </c>
      <c r="X589" s="51">
        <v>1176092.07</v>
      </c>
      <c r="Y589" s="19" t="s">
        <v>149</v>
      </c>
      <c r="Z589" s="19"/>
      <c r="AA589" s="28" t="s">
        <v>8442</v>
      </c>
      <c r="AB589" s="56">
        <v>43411</v>
      </c>
      <c r="AC589" s="28" t="s">
        <v>7537</v>
      </c>
      <c r="AD589" s="28" t="s">
        <v>7538</v>
      </c>
      <c r="AE589" s="54" t="s">
        <v>7541</v>
      </c>
      <c r="AF589" s="54"/>
      <c r="AG589" s="54" t="s">
        <v>7543</v>
      </c>
      <c r="AH589" s="53" t="s">
        <v>1591</v>
      </c>
      <c r="AI589" s="53" t="s">
        <v>2686</v>
      </c>
      <c r="AJ589" s="53" t="s">
        <v>1591</v>
      </c>
    </row>
    <row r="590" spans="1:36" s="3" customFormat="1" ht="120" x14ac:dyDescent="0.25">
      <c r="A590" s="17" t="s">
        <v>949</v>
      </c>
      <c r="B590" s="18" t="s">
        <v>37</v>
      </c>
      <c r="C590" s="19" t="s">
        <v>1871</v>
      </c>
      <c r="D590" s="45" t="s">
        <v>3434</v>
      </c>
      <c r="E590" s="50" t="s">
        <v>954</v>
      </c>
      <c r="F590" s="58" t="s">
        <v>43</v>
      </c>
      <c r="G590" s="51">
        <v>754267.83</v>
      </c>
      <c r="H590" s="51"/>
      <c r="I590" s="50" t="s">
        <v>343</v>
      </c>
      <c r="J590" s="58" t="s">
        <v>3722</v>
      </c>
      <c r="K590" s="52" t="s">
        <v>910</v>
      </c>
      <c r="L590" s="59">
        <v>42009</v>
      </c>
      <c r="M590" s="60">
        <f>L590+150</f>
        <v>42159</v>
      </c>
      <c r="N590" s="51">
        <v>754267.83</v>
      </c>
      <c r="O590" s="59" t="s">
        <v>3717</v>
      </c>
      <c r="P590" s="59">
        <f>M590+900</f>
        <v>43059</v>
      </c>
      <c r="Q590" s="51"/>
      <c r="R590" s="51">
        <f t="shared" si="26"/>
        <v>754267.83</v>
      </c>
      <c r="S590" s="51" t="s">
        <v>3717</v>
      </c>
      <c r="T590" s="52" t="s">
        <v>52</v>
      </c>
      <c r="U590" s="51">
        <v>275152.34999999998</v>
      </c>
      <c r="V590" s="51" t="s">
        <v>3717</v>
      </c>
      <c r="W590" s="51">
        <v>83490.820000000007</v>
      </c>
      <c r="X590" s="51">
        <v>275152.34999999998</v>
      </c>
      <c r="Y590" s="19" t="s">
        <v>175</v>
      </c>
      <c r="Z590" s="19"/>
      <c r="AA590" s="28" t="s">
        <v>8442</v>
      </c>
      <c r="AB590" s="56">
        <v>43411</v>
      </c>
      <c r="AC590" s="28" t="s">
        <v>7537</v>
      </c>
      <c r="AD590" s="28" t="s">
        <v>7538</v>
      </c>
      <c r="AE590" s="54" t="s">
        <v>7544</v>
      </c>
      <c r="AF590" s="54"/>
      <c r="AG590" s="54" t="s">
        <v>7545</v>
      </c>
      <c r="AH590" s="53" t="s">
        <v>1591</v>
      </c>
      <c r="AI590" s="53" t="s">
        <v>2686</v>
      </c>
      <c r="AJ590" s="53" t="s">
        <v>1591</v>
      </c>
    </row>
    <row r="591" spans="1:36" s="3" customFormat="1" ht="108" x14ac:dyDescent="0.25">
      <c r="A591" s="35" t="s">
        <v>949</v>
      </c>
      <c r="B591" s="18" t="s">
        <v>37</v>
      </c>
      <c r="C591" s="19" t="s">
        <v>1274</v>
      </c>
      <c r="D591" s="43" t="s">
        <v>3433</v>
      </c>
      <c r="E591" s="50" t="s">
        <v>3721</v>
      </c>
      <c r="F591" s="36" t="s">
        <v>43</v>
      </c>
      <c r="G591" s="51">
        <v>509921.58</v>
      </c>
      <c r="H591" s="51"/>
      <c r="I591" s="36" t="s">
        <v>958</v>
      </c>
      <c r="J591" s="34" t="s">
        <v>3720</v>
      </c>
      <c r="K591" s="37" t="s">
        <v>959</v>
      </c>
      <c r="L591" s="38">
        <v>41745</v>
      </c>
      <c r="M591" s="39">
        <f>L591+270</f>
        <v>42015</v>
      </c>
      <c r="N591" s="42">
        <v>507319.7</v>
      </c>
      <c r="O591" s="74" t="s">
        <v>3717</v>
      </c>
      <c r="P591" s="39">
        <v>43139</v>
      </c>
      <c r="Q591" s="41"/>
      <c r="R591" s="51">
        <f t="shared" si="26"/>
        <v>507319.7</v>
      </c>
      <c r="S591" s="51">
        <v>13799.24</v>
      </c>
      <c r="T591" s="52" t="s">
        <v>52</v>
      </c>
      <c r="U591" s="51">
        <v>357152.75</v>
      </c>
      <c r="V591" s="51" t="s">
        <v>3717</v>
      </c>
      <c r="W591" s="42"/>
      <c r="X591" s="42">
        <v>357152.75</v>
      </c>
      <c r="Y591" s="34" t="s">
        <v>157</v>
      </c>
      <c r="Z591" s="34"/>
      <c r="AA591" s="28" t="s">
        <v>8442</v>
      </c>
      <c r="AB591" s="56">
        <v>43411</v>
      </c>
      <c r="AC591" s="28" t="s">
        <v>7537</v>
      </c>
      <c r="AD591" s="28" t="s">
        <v>7538</v>
      </c>
      <c r="AE591" s="54" t="s">
        <v>7546</v>
      </c>
      <c r="AF591" s="54"/>
      <c r="AG591" s="54" t="s">
        <v>7547</v>
      </c>
      <c r="AH591" s="53" t="s">
        <v>1591</v>
      </c>
      <c r="AI591" s="53" t="s">
        <v>2686</v>
      </c>
      <c r="AJ591" s="53" t="s">
        <v>1591</v>
      </c>
    </row>
    <row r="592" spans="1:36" s="3" customFormat="1" ht="108" x14ac:dyDescent="0.25">
      <c r="A592" s="17" t="s">
        <v>949</v>
      </c>
      <c r="B592" s="18" t="s">
        <v>37</v>
      </c>
      <c r="C592" s="19" t="s">
        <v>3431</v>
      </c>
      <c r="D592" s="45" t="s">
        <v>1872</v>
      </c>
      <c r="E592" s="50" t="s">
        <v>3717</v>
      </c>
      <c r="F592" s="58" t="s">
        <v>252</v>
      </c>
      <c r="G592" s="51"/>
      <c r="H592" s="51"/>
      <c r="I592" s="50" t="s">
        <v>952</v>
      </c>
      <c r="J592" s="58" t="s">
        <v>3718</v>
      </c>
      <c r="K592" s="52" t="s">
        <v>953</v>
      </c>
      <c r="L592" s="59">
        <v>41113</v>
      </c>
      <c r="M592" s="60">
        <f>L592+240</f>
        <v>41353</v>
      </c>
      <c r="N592" s="51">
        <v>182334.51</v>
      </c>
      <c r="O592" s="59" t="s">
        <v>3717</v>
      </c>
      <c r="P592" s="59">
        <f>M592+730</f>
        <v>42083</v>
      </c>
      <c r="Q592" s="51"/>
      <c r="R592" s="51">
        <f t="shared" si="26"/>
        <v>182334.51</v>
      </c>
      <c r="S592" s="51" t="s">
        <v>3717</v>
      </c>
      <c r="T592" s="52" t="s">
        <v>52</v>
      </c>
      <c r="U592" s="51">
        <v>152495.76</v>
      </c>
      <c r="V592" s="51" t="s">
        <v>3717</v>
      </c>
      <c r="W592" s="51"/>
      <c r="X592" s="51">
        <v>152495.76</v>
      </c>
      <c r="Y592" s="19" t="s">
        <v>157</v>
      </c>
      <c r="Z592" s="19"/>
      <c r="AA592" s="28" t="s">
        <v>8442</v>
      </c>
      <c r="AB592" s="56">
        <v>43411</v>
      </c>
      <c r="AC592" s="28" t="s">
        <v>7537</v>
      </c>
      <c r="AD592" s="28" t="s">
        <v>7538</v>
      </c>
      <c r="AE592" s="54" t="s">
        <v>7546</v>
      </c>
      <c r="AF592" s="54"/>
      <c r="AG592" s="54" t="s">
        <v>7548</v>
      </c>
      <c r="AH592" s="53" t="s">
        <v>1591</v>
      </c>
      <c r="AI592" s="53" t="s">
        <v>2686</v>
      </c>
      <c r="AJ592" s="53" t="s">
        <v>1591</v>
      </c>
    </row>
    <row r="593" spans="1:36" s="3" customFormat="1" ht="108" x14ac:dyDescent="0.25">
      <c r="A593" s="17" t="s">
        <v>949</v>
      </c>
      <c r="B593" s="18" t="s">
        <v>37</v>
      </c>
      <c r="C593" s="76" t="s">
        <v>85</v>
      </c>
      <c r="D593" s="45" t="s">
        <v>4612</v>
      </c>
      <c r="E593" s="78"/>
      <c r="F593" s="79" t="s">
        <v>4613</v>
      </c>
      <c r="G593" s="80">
        <v>163083.35</v>
      </c>
      <c r="H593" s="80"/>
      <c r="I593" s="78" t="s">
        <v>952</v>
      </c>
      <c r="J593" s="79" t="s">
        <v>4614</v>
      </c>
      <c r="K593" s="81" t="s">
        <v>960</v>
      </c>
      <c r="L593" s="82">
        <v>42079</v>
      </c>
      <c r="M593" s="83">
        <v>42229</v>
      </c>
      <c r="N593" s="80">
        <v>163083.35</v>
      </c>
      <c r="O593" s="82"/>
      <c r="P593" s="84" t="s">
        <v>4609</v>
      </c>
      <c r="Q593" s="80">
        <v>0</v>
      </c>
      <c r="R593" s="80">
        <v>163083.35</v>
      </c>
      <c r="S593" s="80"/>
      <c r="T593" s="81" t="s">
        <v>4608</v>
      </c>
      <c r="U593" s="80">
        <v>137207.59</v>
      </c>
      <c r="V593" s="80"/>
      <c r="W593" s="80"/>
      <c r="X593" s="80">
        <v>137207.59</v>
      </c>
      <c r="Y593" s="76" t="s">
        <v>175</v>
      </c>
      <c r="Z593" s="19" t="s">
        <v>7038</v>
      </c>
      <c r="AA593" s="28" t="s">
        <v>8442</v>
      </c>
      <c r="AB593" s="56">
        <v>43411</v>
      </c>
      <c r="AC593" s="28" t="s">
        <v>7537</v>
      </c>
      <c r="AD593" s="28" t="s">
        <v>7538</v>
      </c>
      <c r="AE593" s="54" t="s">
        <v>7546</v>
      </c>
      <c r="AF593" s="54"/>
      <c r="AG593" s="54" t="s">
        <v>7548</v>
      </c>
      <c r="AH593" s="53" t="s">
        <v>1591</v>
      </c>
      <c r="AI593" s="53" t="s">
        <v>2686</v>
      </c>
      <c r="AJ593" s="53" t="s">
        <v>1591</v>
      </c>
    </row>
    <row r="594" spans="1:36" s="3" customFormat="1" ht="36" x14ac:dyDescent="0.25">
      <c r="A594" s="17" t="s">
        <v>963</v>
      </c>
      <c r="B594" s="18" t="s">
        <v>37</v>
      </c>
      <c r="C594" s="76" t="s">
        <v>4615</v>
      </c>
      <c r="D594" s="45" t="s">
        <v>4616</v>
      </c>
      <c r="E594" s="78" t="s">
        <v>46</v>
      </c>
      <c r="F594" s="79" t="s">
        <v>46</v>
      </c>
      <c r="G594" s="80" t="s">
        <v>46</v>
      </c>
      <c r="H594" s="80"/>
      <c r="I594" s="78" t="s">
        <v>636</v>
      </c>
      <c r="J594" s="79" t="s">
        <v>4617</v>
      </c>
      <c r="K594" s="81" t="s">
        <v>969</v>
      </c>
      <c r="L594" s="82">
        <v>41789</v>
      </c>
      <c r="M594" s="83">
        <v>42154</v>
      </c>
      <c r="N594" s="80">
        <v>1392962.2</v>
      </c>
      <c r="O594" s="82"/>
      <c r="P594" s="84"/>
      <c r="Q594" s="80">
        <v>0</v>
      </c>
      <c r="R594" s="80">
        <v>1392962.2</v>
      </c>
      <c r="S594" s="80"/>
      <c r="T594" s="81" t="s">
        <v>52</v>
      </c>
      <c r="U594" s="80"/>
      <c r="V594" s="80"/>
      <c r="W594" s="80"/>
      <c r="X594" s="80"/>
      <c r="Y594" s="76" t="s">
        <v>4618</v>
      </c>
      <c r="Z594" s="19" t="s">
        <v>7038</v>
      </c>
      <c r="AA594" s="28" t="s">
        <v>8443</v>
      </c>
      <c r="AB594" s="56">
        <v>43402</v>
      </c>
      <c r="AC594" s="28" t="s">
        <v>7549</v>
      </c>
      <c r="AD594" s="28" t="s">
        <v>7550</v>
      </c>
      <c r="AE594" s="54" t="s">
        <v>7551</v>
      </c>
      <c r="AF594" s="54"/>
      <c r="AG594" s="54" t="s">
        <v>7552</v>
      </c>
      <c r="AH594" s="53" t="s">
        <v>1591</v>
      </c>
      <c r="AI594" s="53" t="s">
        <v>2686</v>
      </c>
      <c r="AJ594" s="53" t="s">
        <v>1591</v>
      </c>
    </row>
    <row r="595" spans="1:36" s="3" customFormat="1" ht="36" x14ac:dyDescent="0.25">
      <c r="A595" s="17" t="s">
        <v>963</v>
      </c>
      <c r="B595" s="18" t="s">
        <v>37</v>
      </c>
      <c r="C595" s="76" t="s">
        <v>4615</v>
      </c>
      <c r="D595" s="45" t="s">
        <v>4621</v>
      </c>
      <c r="E595" s="78" t="s">
        <v>46</v>
      </c>
      <c r="F595" s="79" t="s">
        <v>46</v>
      </c>
      <c r="G595" s="80" t="s">
        <v>46</v>
      </c>
      <c r="H595" s="80"/>
      <c r="I595" s="78" t="s">
        <v>636</v>
      </c>
      <c r="J595" s="79" t="s">
        <v>4617</v>
      </c>
      <c r="K595" s="81" t="s">
        <v>4622</v>
      </c>
      <c r="L595" s="82">
        <v>41789</v>
      </c>
      <c r="M595" s="83">
        <v>42154</v>
      </c>
      <c r="N595" s="80">
        <v>920829.58</v>
      </c>
      <c r="O595" s="82"/>
      <c r="P595" s="84"/>
      <c r="Q595" s="80">
        <v>0</v>
      </c>
      <c r="R595" s="80">
        <v>920829.58</v>
      </c>
      <c r="S595" s="80"/>
      <c r="T595" s="81" t="s">
        <v>52</v>
      </c>
      <c r="U595" s="80">
        <v>299111.2</v>
      </c>
      <c r="V595" s="80"/>
      <c r="W595" s="80"/>
      <c r="X595" s="80">
        <v>299111.2</v>
      </c>
      <c r="Y595" s="76" t="s">
        <v>575</v>
      </c>
      <c r="Z595" s="19" t="s">
        <v>7038</v>
      </c>
      <c r="AA595" s="28" t="s">
        <v>8443</v>
      </c>
      <c r="AB595" s="56">
        <v>43402</v>
      </c>
      <c r="AC595" s="28" t="s">
        <v>7549</v>
      </c>
      <c r="AD595" s="28" t="s">
        <v>7550</v>
      </c>
      <c r="AE595" s="54" t="s">
        <v>7551</v>
      </c>
      <c r="AF595" s="54"/>
      <c r="AG595" s="54" t="s">
        <v>7553</v>
      </c>
      <c r="AH595" s="53" t="s">
        <v>1591</v>
      </c>
      <c r="AI595" s="53" t="s">
        <v>2686</v>
      </c>
      <c r="AJ595" s="53" t="s">
        <v>1591</v>
      </c>
    </row>
    <row r="596" spans="1:36" s="3" customFormat="1" ht="36" x14ac:dyDescent="0.25">
      <c r="A596" s="17" t="s">
        <v>963</v>
      </c>
      <c r="B596" s="18" t="s">
        <v>37</v>
      </c>
      <c r="C596" s="76" t="s">
        <v>4615</v>
      </c>
      <c r="D596" s="45" t="s">
        <v>4619</v>
      </c>
      <c r="E596" s="78" t="s">
        <v>46</v>
      </c>
      <c r="F596" s="79" t="s">
        <v>46</v>
      </c>
      <c r="G596" s="80" t="s">
        <v>46</v>
      </c>
      <c r="H596" s="80"/>
      <c r="I596" s="78" t="s">
        <v>636</v>
      </c>
      <c r="J596" s="79" t="s">
        <v>4617</v>
      </c>
      <c r="K596" s="81" t="s">
        <v>4620</v>
      </c>
      <c r="L596" s="82">
        <v>41789</v>
      </c>
      <c r="M596" s="83">
        <v>42154</v>
      </c>
      <c r="N596" s="80">
        <v>920829.58</v>
      </c>
      <c r="O596" s="82"/>
      <c r="P596" s="84"/>
      <c r="Q596" s="80">
        <v>0</v>
      </c>
      <c r="R596" s="80">
        <v>920829.58</v>
      </c>
      <c r="S596" s="80"/>
      <c r="T596" s="81" t="s">
        <v>52</v>
      </c>
      <c r="U596" s="80"/>
      <c r="V596" s="80"/>
      <c r="W596" s="80"/>
      <c r="X596" s="80"/>
      <c r="Y596" s="76" t="s">
        <v>4618</v>
      </c>
      <c r="Z596" s="19" t="s">
        <v>7038</v>
      </c>
      <c r="AA596" s="28" t="s">
        <v>8443</v>
      </c>
      <c r="AB596" s="56">
        <v>43402</v>
      </c>
      <c r="AC596" s="28" t="s">
        <v>7549</v>
      </c>
      <c r="AD596" s="28" t="s">
        <v>7550</v>
      </c>
      <c r="AE596" s="54" t="s">
        <v>7551</v>
      </c>
      <c r="AF596" s="54"/>
      <c r="AG596" s="54" t="s">
        <v>7553</v>
      </c>
      <c r="AH596" s="53" t="s">
        <v>1591</v>
      </c>
      <c r="AI596" s="53" t="s">
        <v>2686</v>
      </c>
      <c r="AJ596" s="53" t="s">
        <v>1591</v>
      </c>
    </row>
    <row r="597" spans="1:36" s="3" customFormat="1" ht="36" x14ac:dyDescent="0.25">
      <c r="A597" s="35" t="s">
        <v>2833</v>
      </c>
      <c r="B597" s="18" t="s">
        <v>37</v>
      </c>
      <c r="C597" s="76"/>
      <c r="D597" s="43" t="s">
        <v>4623</v>
      </c>
      <c r="E597" s="78"/>
      <c r="F597" s="36" t="s">
        <v>4624</v>
      </c>
      <c r="G597" s="80"/>
      <c r="H597" s="80"/>
      <c r="I597" s="36" t="s">
        <v>4625</v>
      </c>
      <c r="J597" s="34" t="s">
        <v>4626</v>
      </c>
      <c r="K597" s="37" t="s">
        <v>4627</v>
      </c>
      <c r="L597" s="38">
        <v>40661</v>
      </c>
      <c r="M597" s="39">
        <v>40841</v>
      </c>
      <c r="N597" s="42">
        <v>684340.1</v>
      </c>
      <c r="O597" s="85"/>
      <c r="P597" s="86">
        <v>41265</v>
      </c>
      <c r="Q597" s="41"/>
      <c r="R597" s="41">
        <v>684340.1</v>
      </c>
      <c r="S597" s="80"/>
      <c r="T597" s="81"/>
      <c r="U597" s="80"/>
      <c r="V597" s="80"/>
      <c r="W597" s="42"/>
      <c r="X597" s="42">
        <v>22932.21</v>
      </c>
      <c r="Y597" s="34" t="s">
        <v>4321</v>
      </c>
      <c r="Z597" s="19" t="s">
        <v>7038</v>
      </c>
      <c r="AA597" s="28" t="s">
        <v>8443</v>
      </c>
      <c r="AB597" s="56">
        <v>43402</v>
      </c>
      <c r="AC597" s="28" t="s">
        <v>7549</v>
      </c>
      <c r="AD597" s="28" t="s">
        <v>7550</v>
      </c>
      <c r="AE597" s="54" t="s">
        <v>7551</v>
      </c>
      <c r="AF597" s="54"/>
      <c r="AG597" s="54" t="s">
        <v>33</v>
      </c>
      <c r="AH597" s="53" t="s">
        <v>1591</v>
      </c>
      <c r="AI597" s="53" t="s">
        <v>2686</v>
      </c>
      <c r="AJ597" s="53" t="s">
        <v>1591</v>
      </c>
    </row>
    <row r="598" spans="1:36" s="3" customFormat="1" ht="36" x14ac:dyDescent="0.25">
      <c r="A598" s="35" t="s">
        <v>2833</v>
      </c>
      <c r="B598" s="18" t="s">
        <v>37</v>
      </c>
      <c r="C598" s="76"/>
      <c r="D598" s="43" t="s">
        <v>4630</v>
      </c>
      <c r="E598" s="78"/>
      <c r="F598" s="36"/>
      <c r="G598" s="80"/>
      <c r="H598" s="80"/>
      <c r="I598" s="36" t="s">
        <v>4631</v>
      </c>
      <c r="J598" s="34" t="s">
        <v>4632</v>
      </c>
      <c r="K598" s="37" t="s">
        <v>168</v>
      </c>
      <c r="L598" s="38">
        <v>40987</v>
      </c>
      <c r="M598" s="39">
        <v>41140</v>
      </c>
      <c r="N598" s="42">
        <v>213005.75</v>
      </c>
      <c r="O598" s="85"/>
      <c r="P598" s="86"/>
      <c r="Q598" s="41"/>
      <c r="R598" s="41">
        <v>213005.75</v>
      </c>
      <c r="S598" s="80"/>
      <c r="T598" s="81"/>
      <c r="U598" s="80"/>
      <c r="V598" s="80"/>
      <c r="W598" s="42"/>
      <c r="X598" s="42"/>
      <c r="Y598" s="34" t="s">
        <v>4321</v>
      </c>
      <c r="Z598" s="19" t="s">
        <v>7038</v>
      </c>
      <c r="AA598" s="28" t="s">
        <v>8443</v>
      </c>
      <c r="AB598" s="56">
        <v>43402</v>
      </c>
      <c r="AC598" s="28" t="s">
        <v>7549</v>
      </c>
      <c r="AD598" s="28" t="s">
        <v>7550</v>
      </c>
      <c r="AE598" s="54" t="s">
        <v>7551</v>
      </c>
      <c r="AF598" s="54"/>
      <c r="AG598" s="54" t="s">
        <v>7554</v>
      </c>
      <c r="AH598" s="53" t="s">
        <v>1591</v>
      </c>
      <c r="AI598" s="53" t="s">
        <v>2686</v>
      </c>
      <c r="AJ598" s="53" t="s">
        <v>1591</v>
      </c>
    </row>
    <row r="599" spans="1:36" s="3" customFormat="1" ht="36" x14ac:dyDescent="0.25">
      <c r="A599" s="35" t="s">
        <v>2833</v>
      </c>
      <c r="B599" s="18" t="s">
        <v>37</v>
      </c>
      <c r="C599" s="76"/>
      <c r="D599" s="43" t="s">
        <v>4633</v>
      </c>
      <c r="E599" s="78"/>
      <c r="F599" s="36"/>
      <c r="G599" s="80"/>
      <c r="H599" s="80"/>
      <c r="I599" s="36" t="s">
        <v>4628</v>
      </c>
      <c r="J599" s="34" t="s">
        <v>4629</v>
      </c>
      <c r="K599" s="37" t="s">
        <v>4634</v>
      </c>
      <c r="L599" s="38">
        <v>41166</v>
      </c>
      <c r="M599" s="39">
        <v>41257</v>
      </c>
      <c r="N599" s="42">
        <v>97907.93</v>
      </c>
      <c r="O599" s="85"/>
      <c r="P599" s="86"/>
      <c r="Q599" s="41"/>
      <c r="R599" s="41">
        <v>97907.93</v>
      </c>
      <c r="S599" s="80"/>
      <c r="T599" s="81"/>
      <c r="U599" s="80"/>
      <c r="V599" s="80"/>
      <c r="W599" s="42"/>
      <c r="X599" s="42">
        <v>48275.360000000001</v>
      </c>
      <c r="Y599" s="34" t="s">
        <v>4321</v>
      </c>
      <c r="Z599" s="19" t="s">
        <v>7038</v>
      </c>
      <c r="AA599" s="28" t="s">
        <v>8443</v>
      </c>
      <c r="AB599" s="56">
        <v>43402</v>
      </c>
      <c r="AC599" s="28" t="s">
        <v>7549</v>
      </c>
      <c r="AD599" s="28" t="s">
        <v>7550</v>
      </c>
      <c r="AE599" s="54" t="s">
        <v>7551</v>
      </c>
      <c r="AF599" s="54"/>
      <c r="AG599" s="54" t="s">
        <v>3939</v>
      </c>
      <c r="AH599" s="53" t="s">
        <v>1591</v>
      </c>
      <c r="AI599" s="53" t="s">
        <v>2686</v>
      </c>
      <c r="AJ599" s="53" t="s">
        <v>1591</v>
      </c>
    </row>
    <row r="600" spans="1:36" s="3" customFormat="1" ht="36" x14ac:dyDescent="0.25">
      <c r="A600" s="35" t="s">
        <v>2833</v>
      </c>
      <c r="B600" s="18" t="s">
        <v>37</v>
      </c>
      <c r="C600" s="76"/>
      <c r="D600" s="43" t="s">
        <v>4635</v>
      </c>
      <c r="E600" s="78"/>
      <c r="F600" s="36"/>
      <c r="G600" s="80"/>
      <c r="H600" s="80"/>
      <c r="I600" s="36" t="s">
        <v>4628</v>
      </c>
      <c r="J600" s="34" t="s">
        <v>4629</v>
      </c>
      <c r="K600" s="37" t="s">
        <v>4636</v>
      </c>
      <c r="L600" s="38">
        <v>40812</v>
      </c>
      <c r="M600" s="39">
        <v>40901</v>
      </c>
      <c r="N600" s="42">
        <v>44540.46</v>
      </c>
      <c r="O600" s="85"/>
      <c r="P600" s="86">
        <v>41139</v>
      </c>
      <c r="Q600" s="41"/>
      <c r="R600" s="41">
        <v>44540.46</v>
      </c>
      <c r="S600" s="80"/>
      <c r="T600" s="81"/>
      <c r="U600" s="80"/>
      <c r="V600" s="80"/>
      <c r="W600" s="42"/>
      <c r="X600" s="42">
        <v>30356.240000000002</v>
      </c>
      <c r="Y600" s="34" t="s">
        <v>4321</v>
      </c>
      <c r="Z600" s="19" t="s">
        <v>7038</v>
      </c>
      <c r="AA600" s="28" t="s">
        <v>8443</v>
      </c>
      <c r="AB600" s="56">
        <v>43402</v>
      </c>
      <c r="AC600" s="28" t="s">
        <v>7549</v>
      </c>
      <c r="AD600" s="28" t="s">
        <v>7550</v>
      </c>
      <c r="AE600" s="54" t="s">
        <v>7551</v>
      </c>
      <c r="AF600" s="54"/>
      <c r="AG600" s="54" t="s">
        <v>3939</v>
      </c>
      <c r="AH600" s="53" t="s">
        <v>1591</v>
      </c>
      <c r="AI600" s="53" t="s">
        <v>2686</v>
      </c>
      <c r="AJ600" s="53" t="s">
        <v>1591</v>
      </c>
    </row>
    <row r="601" spans="1:36" s="3" customFormat="1" ht="108" x14ac:dyDescent="0.25">
      <c r="A601" s="35" t="s">
        <v>2710</v>
      </c>
      <c r="B601" s="18" t="s">
        <v>37</v>
      </c>
      <c r="C601" s="76"/>
      <c r="D601" s="43" t="s">
        <v>4637</v>
      </c>
      <c r="E601" s="78"/>
      <c r="F601" s="36" t="s">
        <v>46</v>
      </c>
      <c r="G601" s="80"/>
      <c r="H601" s="80"/>
      <c r="I601" s="36" t="s">
        <v>159</v>
      </c>
      <c r="J601" s="34" t="s">
        <v>1445</v>
      </c>
      <c r="K601" s="37" t="s">
        <v>1003</v>
      </c>
      <c r="L601" s="38">
        <v>41436</v>
      </c>
      <c r="M601" s="39">
        <v>41736</v>
      </c>
      <c r="N601" s="42">
        <v>849450</v>
      </c>
      <c r="O601" s="85" t="s">
        <v>46</v>
      </c>
      <c r="P601" s="86">
        <v>42036</v>
      </c>
      <c r="Q601" s="41"/>
      <c r="R601" s="41">
        <v>849450</v>
      </c>
      <c r="S601" s="80"/>
      <c r="T601" s="81"/>
      <c r="U601" s="80"/>
      <c r="V601" s="80"/>
      <c r="W601" s="42"/>
      <c r="X601" s="42">
        <v>761945.8</v>
      </c>
      <c r="Y601" s="34" t="s">
        <v>4321</v>
      </c>
      <c r="Z601" s="19" t="s">
        <v>7038</v>
      </c>
      <c r="AA601" s="28" t="s">
        <v>8434</v>
      </c>
      <c r="AB601" s="56">
        <v>43411</v>
      </c>
      <c r="AC601" s="28" t="s">
        <v>7555</v>
      </c>
      <c r="AD601" s="28" t="s">
        <v>7556</v>
      </c>
      <c r="AE601" s="54" t="s">
        <v>7557</v>
      </c>
      <c r="AF601" s="54"/>
      <c r="AG601" s="54" t="s">
        <v>7558</v>
      </c>
      <c r="AH601" s="53" t="s">
        <v>1591</v>
      </c>
      <c r="AI601" s="53" t="s">
        <v>2686</v>
      </c>
      <c r="AJ601" s="53" t="s">
        <v>1591</v>
      </c>
    </row>
    <row r="602" spans="1:36" s="3" customFormat="1" ht="108" x14ac:dyDescent="0.25">
      <c r="A602" s="35" t="s">
        <v>2710</v>
      </c>
      <c r="B602" s="18" t="s">
        <v>37</v>
      </c>
      <c r="C602" s="76"/>
      <c r="D602" s="43" t="s">
        <v>4638</v>
      </c>
      <c r="E602" s="78"/>
      <c r="F602" s="36" t="s">
        <v>46</v>
      </c>
      <c r="G602" s="80"/>
      <c r="H602" s="80"/>
      <c r="I602" s="36" t="s">
        <v>2678</v>
      </c>
      <c r="J602" s="34" t="s">
        <v>4639</v>
      </c>
      <c r="K602" s="37" t="s">
        <v>4640</v>
      </c>
      <c r="L602" s="38">
        <v>41625</v>
      </c>
      <c r="M602" s="39">
        <v>41925</v>
      </c>
      <c r="N602" s="42">
        <v>742121.11</v>
      </c>
      <c r="O602" s="85" t="s">
        <v>46</v>
      </c>
      <c r="P602" s="86">
        <v>42165</v>
      </c>
      <c r="Q602" s="41">
        <v>36377.75</v>
      </c>
      <c r="R602" s="41">
        <v>778498.86</v>
      </c>
      <c r="S602" s="80"/>
      <c r="T602" s="81"/>
      <c r="U602" s="80"/>
      <c r="V602" s="80"/>
      <c r="W602" s="42"/>
      <c r="X602" s="42">
        <v>617329.47</v>
      </c>
      <c r="Y602" s="34" t="s">
        <v>4321</v>
      </c>
      <c r="Z602" s="19" t="s">
        <v>7038</v>
      </c>
      <c r="AA602" s="28" t="s">
        <v>8434</v>
      </c>
      <c r="AB602" s="56">
        <v>43411</v>
      </c>
      <c r="AC602" s="28" t="s">
        <v>7555</v>
      </c>
      <c r="AD602" s="28" t="s">
        <v>7556</v>
      </c>
      <c r="AE602" s="54" t="s">
        <v>7557</v>
      </c>
      <c r="AF602" s="54"/>
      <c r="AG602" s="54" t="s">
        <v>7559</v>
      </c>
      <c r="AH602" s="53" t="s">
        <v>1591</v>
      </c>
      <c r="AI602" s="53" t="s">
        <v>2686</v>
      </c>
      <c r="AJ602" s="53" t="s">
        <v>1591</v>
      </c>
    </row>
    <row r="603" spans="1:36" s="3" customFormat="1" ht="108" x14ac:dyDescent="0.25">
      <c r="A603" s="35" t="s">
        <v>2710</v>
      </c>
      <c r="B603" s="18" t="s">
        <v>37</v>
      </c>
      <c r="C603" s="76"/>
      <c r="D603" s="43" t="s">
        <v>4641</v>
      </c>
      <c r="E603" s="78"/>
      <c r="F603" s="36" t="s">
        <v>70</v>
      </c>
      <c r="G603" s="80"/>
      <c r="H603" s="80"/>
      <c r="I603" s="36" t="s">
        <v>1312</v>
      </c>
      <c r="J603" s="34" t="s">
        <v>2713</v>
      </c>
      <c r="K603" s="37" t="s">
        <v>839</v>
      </c>
      <c r="L603" s="38">
        <v>40798</v>
      </c>
      <c r="M603" s="39">
        <v>40918</v>
      </c>
      <c r="N603" s="42">
        <v>221255.07</v>
      </c>
      <c r="O603" s="85" t="s">
        <v>46</v>
      </c>
      <c r="P603" s="86">
        <v>40918</v>
      </c>
      <c r="Q603" s="41"/>
      <c r="R603" s="41">
        <v>221255.07</v>
      </c>
      <c r="S603" s="80"/>
      <c r="T603" s="81"/>
      <c r="U603" s="80"/>
      <c r="V603" s="80"/>
      <c r="W603" s="42"/>
      <c r="X603" s="42">
        <v>161888.89000000001</v>
      </c>
      <c r="Y603" s="34" t="s">
        <v>4321</v>
      </c>
      <c r="Z603" s="19" t="s">
        <v>7038</v>
      </c>
      <c r="AA603" s="28" t="s">
        <v>8434</v>
      </c>
      <c r="AB603" s="56">
        <v>43411</v>
      </c>
      <c r="AC603" s="28" t="s">
        <v>7555</v>
      </c>
      <c r="AD603" s="28" t="s">
        <v>7556</v>
      </c>
      <c r="AE603" s="54" t="s">
        <v>7557</v>
      </c>
      <c r="AF603" s="54"/>
      <c r="AG603" s="54" t="s">
        <v>7560</v>
      </c>
      <c r="AH603" s="53" t="s">
        <v>1591</v>
      </c>
      <c r="AI603" s="53" t="s">
        <v>2686</v>
      </c>
      <c r="AJ603" s="53" t="s">
        <v>1591</v>
      </c>
    </row>
    <row r="604" spans="1:36" s="3" customFormat="1" ht="108" x14ac:dyDescent="0.25">
      <c r="A604" s="35" t="s">
        <v>2710</v>
      </c>
      <c r="B604" s="18" t="s">
        <v>37</v>
      </c>
      <c r="C604" s="76"/>
      <c r="D604" s="43" t="s">
        <v>4642</v>
      </c>
      <c r="E604" s="78"/>
      <c r="F604" s="36" t="s">
        <v>2711</v>
      </c>
      <c r="G604" s="80"/>
      <c r="H604" s="80"/>
      <c r="I604" s="36" t="s">
        <v>1972</v>
      </c>
      <c r="J604" s="34" t="s">
        <v>2712</v>
      </c>
      <c r="K604" s="37" t="s">
        <v>1250</v>
      </c>
      <c r="L604" s="38">
        <v>41901</v>
      </c>
      <c r="M604" s="39">
        <v>41991</v>
      </c>
      <c r="N604" s="42">
        <v>106581.1</v>
      </c>
      <c r="O604" s="85" t="s">
        <v>46</v>
      </c>
      <c r="P604" s="86">
        <v>42081</v>
      </c>
      <c r="Q604" s="41"/>
      <c r="R604" s="41">
        <v>106581.1</v>
      </c>
      <c r="S604" s="80"/>
      <c r="T604" s="81"/>
      <c r="U604" s="80"/>
      <c r="V604" s="80"/>
      <c r="W604" s="42"/>
      <c r="X604" s="42">
        <v>65777.33</v>
      </c>
      <c r="Y604" s="34" t="s">
        <v>4321</v>
      </c>
      <c r="Z604" s="19" t="s">
        <v>7038</v>
      </c>
      <c r="AA604" s="28" t="s">
        <v>8434</v>
      </c>
      <c r="AB604" s="56">
        <v>43411</v>
      </c>
      <c r="AC604" s="28" t="s">
        <v>7555</v>
      </c>
      <c r="AD604" s="28" t="s">
        <v>7556</v>
      </c>
      <c r="AE604" s="54" t="s">
        <v>7557</v>
      </c>
      <c r="AF604" s="54"/>
      <c r="AG604" s="54" t="s">
        <v>7561</v>
      </c>
      <c r="AH604" s="53" t="s">
        <v>1591</v>
      </c>
      <c r="AI604" s="53" t="s">
        <v>2686</v>
      </c>
      <c r="AJ604" s="53" t="s">
        <v>1591</v>
      </c>
    </row>
    <row r="605" spans="1:36" s="3" customFormat="1" ht="60" x14ac:dyDescent="0.25">
      <c r="A605" s="17" t="s">
        <v>970</v>
      </c>
      <c r="B605" s="18" t="s">
        <v>37</v>
      </c>
      <c r="C605" s="76" t="s">
        <v>4645</v>
      </c>
      <c r="D605" s="45" t="s">
        <v>4646</v>
      </c>
      <c r="E605" s="78" t="s">
        <v>46</v>
      </c>
      <c r="F605" s="79" t="s">
        <v>46</v>
      </c>
      <c r="G605" s="80" t="s">
        <v>46</v>
      </c>
      <c r="H605" s="80" t="s">
        <v>46</v>
      </c>
      <c r="I605" s="78" t="s">
        <v>4644</v>
      </c>
      <c r="J605" s="79" t="s">
        <v>4643</v>
      </c>
      <c r="K605" s="81" t="s">
        <v>4647</v>
      </c>
      <c r="L605" s="82">
        <v>42457</v>
      </c>
      <c r="M605" s="83">
        <v>42727</v>
      </c>
      <c r="N605" s="80">
        <v>630338.49</v>
      </c>
      <c r="O605" s="82" t="s">
        <v>46</v>
      </c>
      <c r="P605" s="84" t="s">
        <v>46</v>
      </c>
      <c r="Q605" s="80">
        <v>0</v>
      </c>
      <c r="R605" s="80">
        <v>630338.49</v>
      </c>
      <c r="S605" s="80">
        <v>0</v>
      </c>
      <c r="T605" s="81" t="s">
        <v>1939</v>
      </c>
      <c r="U605" s="80" t="s">
        <v>4648</v>
      </c>
      <c r="V605" s="80"/>
      <c r="W605" s="80"/>
      <c r="X605" s="80" t="s">
        <v>4648</v>
      </c>
      <c r="Y605" s="76" t="s">
        <v>33</v>
      </c>
      <c r="Z605" s="19" t="s">
        <v>7038</v>
      </c>
      <c r="AA605" s="28" t="s">
        <v>7562</v>
      </c>
      <c r="AB605" s="56">
        <v>43423</v>
      </c>
      <c r="AC605" s="28" t="s">
        <v>7563</v>
      </c>
      <c r="AD605" s="28" t="s">
        <v>7564</v>
      </c>
      <c r="AE605" s="54" t="s">
        <v>7565</v>
      </c>
      <c r="AF605" s="54"/>
      <c r="AG605" s="54" t="s">
        <v>7099</v>
      </c>
      <c r="AH605" s="53" t="s">
        <v>1591</v>
      </c>
      <c r="AI605" s="53" t="s">
        <v>2686</v>
      </c>
      <c r="AJ605" s="53" t="s">
        <v>1591</v>
      </c>
    </row>
    <row r="606" spans="1:36" s="3" customFormat="1" ht="108" x14ac:dyDescent="0.25">
      <c r="A606" s="17" t="s">
        <v>970</v>
      </c>
      <c r="B606" s="18" t="s">
        <v>37</v>
      </c>
      <c r="C606" s="19" t="s">
        <v>975</v>
      </c>
      <c r="D606" s="45" t="s">
        <v>3439</v>
      </c>
      <c r="E606" s="50">
        <v>746947</v>
      </c>
      <c r="F606" s="58" t="s">
        <v>112</v>
      </c>
      <c r="G606" s="51"/>
      <c r="H606" s="51"/>
      <c r="I606" s="50" t="s">
        <v>48</v>
      </c>
      <c r="J606" s="58" t="s">
        <v>973</v>
      </c>
      <c r="K606" s="52" t="s">
        <v>2855</v>
      </c>
      <c r="L606" s="59">
        <v>41087</v>
      </c>
      <c r="M606" s="60">
        <f>L606+180</f>
        <v>41267</v>
      </c>
      <c r="N606" s="51">
        <v>227076.67</v>
      </c>
      <c r="O606" s="59"/>
      <c r="P606" s="59">
        <v>42798</v>
      </c>
      <c r="Q606" s="51">
        <v>56725.74</v>
      </c>
      <c r="R606" s="51">
        <f>N606+Q606</f>
        <v>283802.41000000003</v>
      </c>
      <c r="S606" s="51"/>
      <c r="T606" s="52" t="s">
        <v>32</v>
      </c>
      <c r="U606" s="51">
        <v>27077.48</v>
      </c>
      <c r="V606" s="51">
        <v>27077.48</v>
      </c>
      <c r="W606" s="51">
        <v>27077.48</v>
      </c>
      <c r="X606" s="51">
        <v>174122.62</v>
      </c>
      <c r="Y606" s="19" t="s">
        <v>175</v>
      </c>
      <c r="Z606" s="19"/>
      <c r="AA606" s="28" t="s">
        <v>7562</v>
      </c>
      <c r="AB606" s="56">
        <v>43423</v>
      </c>
      <c r="AC606" s="28" t="s">
        <v>7563</v>
      </c>
      <c r="AD606" s="28" t="s">
        <v>7564</v>
      </c>
      <c r="AE606" s="54" t="s">
        <v>7566</v>
      </c>
      <c r="AF606" s="54"/>
      <c r="AG606" s="54" t="s">
        <v>7567</v>
      </c>
      <c r="AH606" s="53" t="s">
        <v>1591</v>
      </c>
      <c r="AI606" s="53" t="s">
        <v>2686</v>
      </c>
      <c r="AJ606" s="53" t="s">
        <v>1591</v>
      </c>
    </row>
    <row r="607" spans="1:36" s="3" customFormat="1" ht="72" x14ac:dyDescent="0.25">
      <c r="A607" s="35" t="s">
        <v>2854</v>
      </c>
      <c r="B607" s="18" t="s">
        <v>37</v>
      </c>
      <c r="C607" s="76"/>
      <c r="D607" s="43" t="s">
        <v>4657</v>
      </c>
      <c r="E607" s="78"/>
      <c r="F607" s="36"/>
      <c r="G607" s="80"/>
      <c r="H607" s="80"/>
      <c r="I607" s="36" t="s">
        <v>971</v>
      </c>
      <c r="J607" s="34" t="s">
        <v>972</v>
      </c>
      <c r="K607" s="37" t="s">
        <v>1709</v>
      </c>
      <c r="L607" s="38">
        <v>41967</v>
      </c>
      <c r="M607" s="39">
        <v>42147</v>
      </c>
      <c r="N607" s="42">
        <v>258176.73</v>
      </c>
      <c r="O607" s="85"/>
      <c r="P607" s="86">
        <v>42147</v>
      </c>
      <c r="Q607" s="41"/>
      <c r="R607" s="41">
        <v>258176.73</v>
      </c>
      <c r="S607" s="80"/>
      <c r="T607" s="81"/>
      <c r="U607" s="80"/>
      <c r="V607" s="80"/>
      <c r="W607" s="42"/>
      <c r="X607" s="42">
        <v>156990.09</v>
      </c>
      <c r="Y607" s="34" t="s">
        <v>4321</v>
      </c>
      <c r="Z607" s="19" t="s">
        <v>7038</v>
      </c>
      <c r="AA607" s="28" t="s">
        <v>7562</v>
      </c>
      <c r="AB607" s="56">
        <v>43423</v>
      </c>
      <c r="AC607" s="28" t="s">
        <v>7563</v>
      </c>
      <c r="AD607" s="28" t="s">
        <v>7564</v>
      </c>
      <c r="AE607" s="54" t="s">
        <v>7568</v>
      </c>
      <c r="AF607" s="54"/>
      <c r="AG607" s="54" t="s">
        <v>33</v>
      </c>
      <c r="AH607" s="53" t="s">
        <v>1591</v>
      </c>
      <c r="AI607" s="53" t="s">
        <v>2686</v>
      </c>
      <c r="AJ607" s="53" t="s">
        <v>1591</v>
      </c>
    </row>
    <row r="608" spans="1:36" s="3" customFormat="1" ht="84" x14ac:dyDescent="0.25">
      <c r="A608" s="35" t="s">
        <v>2854</v>
      </c>
      <c r="B608" s="18" t="s">
        <v>37</v>
      </c>
      <c r="C608" s="76"/>
      <c r="D608" s="43" t="s">
        <v>4659</v>
      </c>
      <c r="E608" s="78"/>
      <c r="F608" s="36"/>
      <c r="G608" s="80"/>
      <c r="H608" s="80"/>
      <c r="I608" s="36" t="s">
        <v>2031</v>
      </c>
      <c r="J608" s="34" t="s">
        <v>4660</v>
      </c>
      <c r="K608" s="37" t="s">
        <v>255</v>
      </c>
      <c r="L608" s="38">
        <v>41452</v>
      </c>
      <c r="M608" s="39">
        <v>41512</v>
      </c>
      <c r="N608" s="42">
        <v>94693.85</v>
      </c>
      <c r="O608" s="85"/>
      <c r="P608" s="86">
        <v>41512</v>
      </c>
      <c r="Q608" s="41"/>
      <c r="R608" s="41">
        <v>94693.85</v>
      </c>
      <c r="S608" s="80"/>
      <c r="T608" s="81"/>
      <c r="U608" s="80"/>
      <c r="V608" s="80"/>
      <c r="W608" s="42"/>
      <c r="X608" s="42">
        <v>73573.45</v>
      </c>
      <c r="Y608" s="34" t="s">
        <v>4321</v>
      </c>
      <c r="Z608" s="19" t="s">
        <v>7038</v>
      </c>
      <c r="AA608" s="28" t="s">
        <v>7562</v>
      </c>
      <c r="AB608" s="56">
        <v>43423</v>
      </c>
      <c r="AC608" s="28" t="s">
        <v>7563</v>
      </c>
      <c r="AD608" s="28" t="s">
        <v>7564</v>
      </c>
      <c r="AE608" s="54" t="s">
        <v>7568</v>
      </c>
      <c r="AF608" s="54"/>
      <c r="AG608" s="54" t="s">
        <v>33</v>
      </c>
      <c r="AH608" s="53" t="s">
        <v>39</v>
      </c>
      <c r="AI608" s="53" t="s">
        <v>2686</v>
      </c>
      <c r="AJ608" s="53" t="s">
        <v>1591</v>
      </c>
    </row>
    <row r="609" spans="1:36" s="3" customFormat="1" ht="60" x14ac:dyDescent="0.25">
      <c r="A609" s="17" t="s">
        <v>970</v>
      </c>
      <c r="B609" s="18" t="s">
        <v>37</v>
      </c>
      <c r="C609" s="76" t="s">
        <v>4649</v>
      </c>
      <c r="D609" s="45" t="s">
        <v>4646</v>
      </c>
      <c r="E609" s="78" t="s">
        <v>46</v>
      </c>
      <c r="F609" s="79" t="s">
        <v>46</v>
      </c>
      <c r="G609" s="80" t="s">
        <v>46</v>
      </c>
      <c r="H609" s="80" t="s">
        <v>46</v>
      </c>
      <c r="I609" s="78" t="s">
        <v>4650</v>
      </c>
      <c r="J609" s="79" t="s">
        <v>4651</v>
      </c>
      <c r="K609" s="81" t="s">
        <v>197</v>
      </c>
      <c r="L609" s="82">
        <v>42457</v>
      </c>
      <c r="M609" s="83">
        <v>42727</v>
      </c>
      <c r="N609" s="80">
        <v>94018.19</v>
      </c>
      <c r="O609" s="82" t="s">
        <v>46</v>
      </c>
      <c r="P609" s="84" t="s">
        <v>46</v>
      </c>
      <c r="Q609" s="80">
        <v>0</v>
      </c>
      <c r="R609" s="80">
        <v>94018.19</v>
      </c>
      <c r="S609" s="80">
        <v>0</v>
      </c>
      <c r="T609" s="81" t="s">
        <v>1939</v>
      </c>
      <c r="U609" s="80" t="s">
        <v>4652</v>
      </c>
      <c r="V609" s="80"/>
      <c r="W609" s="80"/>
      <c r="X609" s="80" t="s">
        <v>4652</v>
      </c>
      <c r="Y609" s="76" t="s">
        <v>33</v>
      </c>
      <c r="Z609" s="19" t="s">
        <v>7038</v>
      </c>
      <c r="AA609" s="28" t="s">
        <v>7562</v>
      </c>
      <c r="AB609" s="56">
        <v>43423</v>
      </c>
      <c r="AC609" s="28" t="s">
        <v>7563</v>
      </c>
      <c r="AD609" s="28" t="s">
        <v>7564</v>
      </c>
      <c r="AE609" s="54" t="s">
        <v>7569</v>
      </c>
      <c r="AF609" s="54"/>
      <c r="AG609" s="54" t="s">
        <v>542</v>
      </c>
      <c r="AH609" s="53" t="s">
        <v>1591</v>
      </c>
      <c r="AI609" s="53" t="s">
        <v>2686</v>
      </c>
      <c r="AJ609" s="53" t="s">
        <v>1591</v>
      </c>
    </row>
    <row r="610" spans="1:36" s="3" customFormat="1" ht="84" x14ac:dyDescent="0.25">
      <c r="A610" s="35" t="s">
        <v>2854</v>
      </c>
      <c r="B610" s="18" t="s">
        <v>37</v>
      </c>
      <c r="C610" s="76"/>
      <c r="D610" s="43" t="s">
        <v>4661</v>
      </c>
      <c r="E610" s="78"/>
      <c r="F610" s="36"/>
      <c r="G610" s="80"/>
      <c r="H610" s="80"/>
      <c r="I610" s="36" t="s">
        <v>2031</v>
      </c>
      <c r="J610" s="34" t="s">
        <v>4660</v>
      </c>
      <c r="K610" s="37" t="s">
        <v>255</v>
      </c>
      <c r="L610" s="38">
        <v>41452</v>
      </c>
      <c r="M610" s="39">
        <v>41512</v>
      </c>
      <c r="N610" s="42">
        <v>90211.97</v>
      </c>
      <c r="O610" s="85"/>
      <c r="P610" s="86">
        <v>41512</v>
      </c>
      <c r="Q610" s="41"/>
      <c r="R610" s="41">
        <v>90211.97</v>
      </c>
      <c r="S610" s="80"/>
      <c r="T610" s="81"/>
      <c r="U610" s="80"/>
      <c r="V610" s="80"/>
      <c r="W610" s="42"/>
      <c r="X610" s="42">
        <v>68166.39</v>
      </c>
      <c r="Y610" s="34" t="s">
        <v>4321</v>
      </c>
      <c r="Z610" s="19" t="s">
        <v>7038</v>
      </c>
      <c r="AA610" s="28" t="s">
        <v>7562</v>
      </c>
      <c r="AB610" s="56">
        <v>43423</v>
      </c>
      <c r="AC610" s="28" t="s">
        <v>7563</v>
      </c>
      <c r="AD610" s="28" t="s">
        <v>7564</v>
      </c>
      <c r="AE610" s="54" t="s">
        <v>7570</v>
      </c>
      <c r="AF610" s="54"/>
      <c r="AG610" s="54" t="s">
        <v>33</v>
      </c>
      <c r="AH610" s="53" t="s">
        <v>1591</v>
      </c>
      <c r="AI610" s="53" t="s">
        <v>2686</v>
      </c>
      <c r="AJ610" s="53" t="s">
        <v>1591</v>
      </c>
    </row>
    <row r="611" spans="1:36" s="3" customFormat="1" ht="72" x14ac:dyDescent="0.25">
      <c r="A611" s="17" t="s">
        <v>970</v>
      </c>
      <c r="B611" s="18" t="s">
        <v>37</v>
      </c>
      <c r="C611" s="76" t="s">
        <v>4658</v>
      </c>
      <c r="D611" s="45" t="s">
        <v>4662</v>
      </c>
      <c r="E611" s="78"/>
      <c r="F611" s="79"/>
      <c r="G611" s="80"/>
      <c r="H611" s="80"/>
      <c r="I611" s="78" t="s">
        <v>48</v>
      </c>
      <c r="J611" s="79" t="s">
        <v>973</v>
      </c>
      <c r="K611" s="81" t="s">
        <v>4663</v>
      </c>
      <c r="L611" s="82">
        <v>42472</v>
      </c>
      <c r="M611" s="83"/>
      <c r="N611" s="80">
        <v>70650.490000000005</v>
      </c>
      <c r="O611" s="82">
        <v>42489</v>
      </c>
      <c r="P611" s="84"/>
      <c r="Q611" s="80">
        <v>0</v>
      </c>
      <c r="R611" s="80">
        <v>70650.490000000005</v>
      </c>
      <c r="S611" s="80"/>
      <c r="T611" s="81" t="s">
        <v>52</v>
      </c>
      <c r="U611" s="80"/>
      <c r="V611" s="80"/>
      <c r="W611" s="80"/>
      <c r="X611" s="80">
        <v>62918.84</v>
      </c>
      <c r="Y611" s="76" t="s">
        <v>974</v>
      </c>
      <c r="Z611" s="19" t="s">
        <v>7038</v>
      </c>
      <c r="AA611" s="28" t="s">
        <v>7562</v>
      </c>
      <c r="AB611" s="56">
        <v>43423</v>
      </c>
      <c r="AC611" s="28" t="s">
        <v>7563</v>
      </c>
      <c r="AD611" s="28" t="s">
        <v>7564</v>
      </c>
      <c r="AE611" s="54" t="s">
        <v>7571</v>
      </c>
      <c r="AF611" s="54"/>
      <c r="AG611" s="54" t="s">
        <v>7572</v>
      </c>
      <c r="AH611" s="53" t="s">
        <v>1591</v>
      </c>
      <c r="AI611" s="53" t="s">
        <v>2686</v>
      </c>
      <c r="AJ611" s="53" t="s">
        <v>1591</v>
      </c>
    </row>
    <row r="612" spans="1:36" s="3" customFormat="1" ht="36" x14ac:dyDescent="0.25">
      <c r="A612" s="35" t="s">
        <v>2854</v>
      </c>
      <c r="B612" s="18" t="s">
        <v>37</v>
      </c>
      <c r="C612" s="76" t="s">
        <v>4653</v>
      </c>
      <c r="D612" s="43" t="s">
        <v>4654</v>
      </c>
      <c r="E612" s="78" t="s">
        <v>46</v>
      </c>
      <c r="F612" s="36" t="s">
        <v>46</v>
      </c>
      <c r="G612" s="80" t="s">
        <v>46</v>
      </c>
      <c r="H612" s="80" t="s">
        <v>46</v>
      </c>
      <c r="I612" s="36" t="s">
        <v>308</v>
      </c>
      <c r="J612" s="34" t="s">
        <v>309</v>
      </c>
      <c r="K612" s="37" t="s">
        <v>4539</v>
      </c>
      <c r="L612" s="38">
        <v>42562</v>
      </c>
      <c r="M612" s="39">
        <v>42622</v>
      </c>
      <c r="N612" s="42">
        <v>59745.84</v>
      </c>
      <c r="O612" s="85" t="s">
        <v>46</v>
      </c>
      <c r="P612" s="86">
        <v>60</v>
      </c>
      <c r="Q612" s="41">
        <v>-4536.67</v>
      </c>
      <c r="R612" s="41">
        <v>55209.17</v>
      </c>
      <c r="S612" s="80">
        <v>0</v>
      </c>
      <c r="T612" s="81" t="s">
        <v>45</v>
      </c>
      <c r="U612" s="80">
        <v>55208.97</v>
      </c>
      <c r="V612" s="80"/>
      <c r="W612" s="42"/>
      <c r="X612" s="42">
        <v>55208.97</v>
      </c>
      <c r="Y612" s="34" t="s">
        <v>33</v>
      </c>
      <c r="Z612" s="19" t="s">
        <v>7038</v>
      </c>
      <c r="AA612" s="28" t="s">
        <v>7562</v>
      </c>
      <c r="AB612" s="56">
        <v>43423</v>
      </c>
      <c r="AC612" s="28" t="s">
        <v>7563</v>
      </c>
      <c r="AD612" s="28" t="s">
        <v>7564</v>
      </c>
      <c r="AE612" s="54" t="s">
        <v>7570</v>
      </c>
      <c r="AF612" s="54"/>
      <c r="AG612" s="54" t="s">
        <v>33</v>
      </c>
      <c r="AH612" s="53" t="s">
        <v>1591</v>
      </c>
      <c r="AI612" s="53" t="s">
        <v>2686</v>
      </c>
      <c r="AJ612" s="53" t="s">
        <v>1591</v>
      </c>
    </row>
    <row r="613" spans="1:36" s="3" customFormat="1" ht="72" x14ac:dyDescent="0.25">
      <c r="A613" s="35" t="s">
        <v>2854</v>
      </c>
      <c r="B613" s="18" t="s">
        <v>37</v>
      </c>
      <c r="C613" s="76"/>
      <c r="D613" s="43" t="s">
        <v>4664</v>
      </c>
      <c r="E613" s="78"/>
      <c r="F613" s="36"/>
      <c r="G613" s="80"/>
      <c r="H613" s="80"/>
      <c r="I613" s="36" t="s">
        <v>63</v>
      </c>
      <c r="J613" s="34" t="s">
        <v>1585</v>
      </c>
      <c r="K613" s="37" t="s">
        <v>4665</v>
      </c>
      <c r="L613" s="38">
        <v>41975</v>
      </c>
      <c r="M613" s="39">
        <v>42095</v>
      </c>
      <c r="N613" s="42">
        <v>23538.04</v>
      </c>
      <c r="O613" s="85">
        <v>42034</v>
      </c>
      <c r="P613" s="86">
        <v>42034</v>
      </c>
      <c r="Q613" s="41"/>
      <c r="R613" s="41">
        <v>23538.04</v>
      </c>
      <c r="S613" s="80"/>
      <c r="T613" s="81"/>
      <c r="U613" s="80"/>
      <c r="V613" s="80"/>
      <c r="W613" s="42"/>
      <c r="X613" s="42">
        <v>22337.599999999999</v>
      </c>
      <c r="Y613" s="34" t="s">
        <v>4321</v>
      </c>
      <c r="Z613" s="19" t="s">
        <v>7038</v>
      </c>
      <c r="AA613" s="28" t="s">
        <v>7562</v>
      </c>
      <c r="AB613" s="56">
        <v>43423</v>
      </c>
      <c r="AC613" s="28" t="s">
        <v>7563</v>
      </c>
      <c r="AD613" s="28" t="s">
        <v>7564</v>
      </c>
      <c r="AE613" s="54" t="s">
        <v>7571</v>
      </c>
      <c r="AF613" s="54"/>
      <c r="AG613" s="54" t="s">
        <v>7567</v>
      </c>
      <c r="AH613" s="53" t="s">
        <v>1591</v>
      </c>
      <c r="AI613" s="53" t="s">
        <v>2686</v>
      </c>
      <c r="AJ613" s="53" t="s">
        <v>1591</v>
      </c>
    </row>
    <row r="614" spans="1:36" s="3" customFormat="1" ht="36" x14ac:dyDescent="0.25">
      <c r="A614" s="17" t="s">
        <v>970</v>
      </c>
      <c r="B614" s="18" t="s">
        <v>37</v>
      </c>
      <c r="C614" s="76" t="s">
        <v>4653</v>
      </c>
      <c r="D614" s="45" t="s">
        <v>4655</v>
      </c>
      <c r="E614" s="78" t="s">
        <v>46</v>
      </c>
      <c r="F614" s="79" t="s">
        <v>46</v>
      </c>
      <c r="G614" s="80" t="s">
        <v>46</v>
      </c>
      <c r="H614" s="80" t="s">
        <v>46</v>
      </c>
      <c r="I614" s="78" t="s">
        <v>1312</v>
      </c>
      <c r="J614" s="79" t="s">
        <v>4656</v>
      </c>
      <c r="K614" s="81" t="s">
        <v>921</v>
      </c>
      <c r="L614" s="82">
        <v>42583</v>
      </c>
      <c r="M614" s="83">
        <v>42643</v>
      </c>
      <c r="N614" s="80">
        <v>23324.11</v>
      </c>
      <c r="O614" s="82" t="s">
        <v>46</v>
      </c>
      <c r="P614" s="84" t="s">
        <v>46</v>
      </c>
      <c r="Q614" s="80">
        <v>-2254.58</v>
      </c>
      <c r="R614" s="80">
        <v>21069.53</v>
      </c>
      <c r="S614" s="80">
        <v>0</v>
      </c>
      <c r="T614" s="81" t="s">
        <v>691</v>
      </c>
      <c r="U614" s="80">
        <v>21069.53</v>
      </c>
      <c r="V614" s="80"/>
      <c r="W614" s="80"/>
      <c r="X614" s="80">
        <v>21069.53</v>
      </c>
      <c r="Y614" s="76" t="s">
        <v>33</v>
      </c>
      <c r="Z614" s="19" t="s">
        <v>7038</v>
      </c>
      <c r="AA614" s="28" t="s">
        <v>7562</v>
      </c>
      <c r="AB614" s="56">
        <v>43423</v>
      </c>
      <c r="AC614" s="28" t="s">
        <v>7563</v>
      </c>
      <c r="AD614" s="28" t="s">
        <v>7564</v>
      </c>
      <c r="AE614" s="54" t="s">
        <v>7570</v>
      </c>
      <c r="AF614" s="54"/>
      <c r="AG614" s="54" t="s">
        <v>7099</v>
      </c>
      <c r="AH614" s="53" t="s">
        <v>1591</v>
      </c>
      <c r="AI614" s="53" t="s">
        <v>2686</v>
      </c>
      <c r="AJ614" s="53" t="s">
        <v>1591</v>
      </c>
    </row>
    <row r="615" spans="1:36" s="3" customFormat="1" ht="60" x14ac:dyDescent="0.25">
      <c r="A615" s="35" t="s">
        <v>2834</v>
      </c>
      <c r="B615" s="18" t="s">
        <v>37</v>
      </c>
      <c r="C615" s="76"/>
      <c r="D615" s="43" t="s">
        <v>4666</v>
      </c>
      <c r="E615" s="78"/>
      <c r="F615" s="36" t="s">
        <v>562</v>
      </c>
      <c r="G615" s="80"/>
      <c r="H615" s="80"/>
      <c r="I615" s="36" t="s">
        <v>1180</v>
      </c>
      <c r="J615" s="34" t="s">
        <v>4667</v>
      </c>
      <c r="K615" s="37"/>
      <c r="L615" s="38">
        <v>41240</v>
      </c>
      <c r="M615" s="39">
        <v>41605</v>
      </c>
      <c r="N615" s="42">
        <v>4910000</v>
      </c>
      <c r="O615" s="85"/>
      <c r="P615" s="86">
        <v>41605</v>
      </c>
      <c r="Q615" s="41"/>
      <c r="R615" s="41">
        <v>4910000</v>
      </c>
      <c r="S615" s="80"/>
      <c r="T615" s="81"/>
      <c r="U615" s="80"/>
      <c r="V615" s="80"/>
      <c r="W615" s="42"/>
      <c r="X615" s="42"/>
      <c r="Y615" s="34" t="s">
        <v>4321</v>
      </c>
      <c r="Z615" s="19" t="s">
        <v>7038</v>
      </c>
      <c r="AA615" s="28" t="s">
        <v>7573</v>
      </c>
      <c r="AB615" s="56">
        <v>43417</v>
      </c>
      <c r="AC615" s="28" t="s">
        <v>7574</v>
      </c>
      <c r="AD615" s="28" t="s">
        <v>7575</v>
      </c>
      <c r="AE615" s="54" t="s">
        <v>7576</v>
      </c>
      <c r="AF615" s="54"/>
      <c r="AG615" s="54" t="s">
        <v>7577</v>
      </c>
      <c r="AH615" s="53" t="s">
        <v>1591</v>
      </c>
      <c r="AI615" s="53" t="s">
        <v>2686</v>
      </c>
      <c r="AJ615" s="53" t="s">
        <v>1591</v>
      </c>
    </row>
    <row r="616" spans="1:36" s="3" customFormat="1" ht="60" x14ac:dyDescent="0.25">
      <c r="A616" s="35" t="s">
        <v>2834</v>
      </c>
      <c r="B616" s="18" t="s">
        <v>37</v>
      </c>
      <c r="C616" s="76"/>
      <c r="D616" s="43" t="s">
        <v>4668</v>
      </c>
      <c r="E616" s="78"/>
      <c r="F616" s="36" t="s">
        <v>252</v>
      </c>
      <c r="G616" s="80"/>
      <c r="H616" s="80"/>
      <c r="I616" s="36" t="s">
        <v>900</v>
      </c>
      <c r="J616" s="34" t="s">
        <v>4669</v>
      </c>
      <c r="K616" s="37"/>
      <c r="L616" s="38">
        <v>41722</v>
      </c>
      <c r="M616" s="39">
        <v>41936</v>
      </c>
      <c r="N616" s="42">
        <v>843644.82</v>
      </c>
      <c r="O616" s="85"/>
      <c r="P616" s="86">
        <v>41936</v>
      </c>
      <c r="Q616" s="41"/>
      <c r="R616" s="41">
        <v>843644.82</v>
      </c>
      <c r="S616" s="80"/>
      <c r="T616" s="81"/>
      <c r="U616" s="80"/>
      <c r="V616" s="80"/>
      <c r="W616" s="42"/>
      <c r="X616" s="42">
        <v>70802.320000000007</v>
      </c>
      <c r="Y616" s="34" t="s">
        <v>4321</v>
      </c>
      <c r="Z616" s="19" t="s">
        <v>7038</v>
      </c>
      <c r="AA616" s="28" t="s">
        <v>7573</v>
      </c>
      <c r="AB616" s="56">
        <v>43417</v>
      </c>
      <c r="AC616" s="28" t="s">
        <v>7574</v>
      </c>
      <c r="AD616" s="28" t="s">
        <v>7575</v>
      </c>
      <c r="AE616" s="54" t="s">
        <v>7578</v>
      </c>
      <c r="AF616" s="54"/>
      <c r="AG616" s="54" t="s">
        <v>7579</v>
      </c>
      <c r="AH616" s="53" t="s">
        <v>1591</v>
      </c>
      <c r="AI616" s="53" t="s">
        <v>2686</v>
      </c>
      <c r="AJ616" s="53" t="s">
        <v>1591</v>
      </c>
    </row>
    <row r="617" spans="1:36" s="3" customFormat="1" ht="96" x14ac:dyDescent="0.25">
      <c r="A617" s="35" t="s">
        <v>2834</v>
      </c>
      <c r="B617" s="18" t="s">
        <v>37</v>
      </c>
      <c r="C617" s="76"/>
      <c r="D617" s="43" t="s">
        <v>4670</v>
      </c>
      <c r="E617" s="78"/>
      <c r="F617" s="36" t="s">
        <v>955</v>
      </c>
      <c r="G617" s="80"/>
      <c r="H617" s="80"/>
      <c r="I617" s="36" t="s">
        <v>900</v>
      </c>
      <c r="J617" s="34" t="s">
        <v>4669</v>
      </c>
      <c r="K617" s="37"/>
      <c r="L617" s="38">
        <v>41883</v>
      </c>
      <c r="M617" s="39">
        <v>42125</v>
      </c>
      <c r="N617" s="42">
        <v>413250.7</v>
      </c>
      <c r="O617" s="85"/>
      <c r="P617" s="86">
        <v>42125</v>
      </c>
      <c r="Q617" s="41"/>
      <c r="R617" s="41">
        <v>413250.7</v>
      </c>
      <c r="S617" s="80"/>
      <c r="T617" s="81"/>
      <c r="U617" s="80"/>
      <c r="V617" s="80"/>
      <c r="W617" s="42"/>
      <c r="X617" s="42">
        <v>119860.07</v>
      </c>
      <c r="Y617" s="34" t="s">
        <v>4321</v>
      </c>
      <c r="Z617" s="19" t="s">
        <v>7038</v>
      </c>
      <c r="AA617" s="28" t="s">
        <v>7573</v>
      </c>
      <c r="AB617" s="56">
        <v>43417</v>
      </c>
      <c r="AC617" s="28" t="s">
        <v>7574</v>
      </c>
      <c r="AD617" s="28" t="s">
        <v>7575</v>
      </c>
      <c r="AE617" s="54" t="s">
        <v>7580</v>
      </c>
      <c r="AF617" s="54"/>
      <c r="AG617" s="54" t="s">
        <v>7581</v>
      </c>
      <c r="AH617" s="53" t="s">
        <v>1591</v>
      </c>
      <c r="AI617" s="53" t="s">
        <v>2686</v>
      </c>
      <c r="AJ617" s="53" t="s">
        <v>1591</v>
      </c>
    </row>
    <row r="618" spans="1:36" s="3" customFormat="1" ht="120" x14ac:dyDescent="0.25">
      <c r="A618" s="35" t="s">
        <v>2834</v>
      </c>
      <c r="B618" s="18" t="s">
        <v>37</v>
      </c>
      <c r="C618" s="76"/>
      <c r="D618" s="43" t="s">
        <v>4671</v>
      </c>
      <c r="E618" s="78"/>
      <c r="F618" s="36" t="s">
        <v>1088</v>
      </c>
      <c r="G618" s="80"/>
      <c r="H618" s="80"/>
      <c r="I618" s="36" t="s">
        <v>994</v>
      </c>
      <c r="J618" s="34" t="s">
        <v>4672</v>
      </c>
      <c r="K618" s="37"/>
      <c r="L618" s="38">
        <v>41877</v>
      </c>
      <c r="M618" s="39">
        <v>42181</v>
      </c>
      <c r="N618" s="42">
        <v>389637.7</v>
      </c>
      <c r="O618" s="85"/>
      <c r="P618" s="86">
        <v>42181</v>
      </c>
      <c r="Q618" s="41"/>
      <c r="R618" s="41">
        <v>389637.7</v>
      </c>
      <c r="S618" s="80"/>
      <c r="T618" s="81"/>
      <c r="U618" s="80"/>
      <c r="V618" s="80"/>
      <c r="W618" s="42"/>
      <c r="X618" s="42"/>
      <c r="Y618" s="34" t="s">
        <v>4321</v>
      </c>
      <c r="Z618" s="19" t="s">
        <v>7038</v>
      </c>
      <c r="AA618" s="28" t="s">
        <v>7573</v>
      </c>
      <c r="AB618" s="56">
        <v>43417</v>
      </c>
      <c r="AC618" s="28" t="s">
        <v>7574</v>
      </c>
      <c r="AD618" s="28" t="s">
        <v>7575</v>
      </c>
      <c r="AE618" s="54" t="s">
        <v>7582</v>
      </c>
      <c r="AF618" s="54"/>
      <c r="AG618" s="54" t="s">
        <v>7583</v>
      </c>
      <c r="AH618" s="53" t="s">
        <v>1591</v>
      </c>
      <c r="AI618" s="53" t="s">
        <v>2686</v>
      </c>
      <c r="AJ618" s="53" t="s">
        <v>1591</v>
      </c>
    </row>
    <row r="619" spans="1:36" s="3" customFormat="1" ht="36" x14ac:dyDescent="0.25">
      <c r="A619" s="35" t="s">
        <v>2834</v>
      </c>
      <c r="B619" s="18" t="s">
        <v>37</v>
      </c>
      <c r="C619" s="76"/>
      <c r="D619" s="43" t="s">
        <v>4673</v>
      </c>
      <c r="E619" s="78"/>
      <c r="F619" s="36" t="s">
        <v>1472</v>
      </c>
      <c r="G619" s="80"/>
      <c r="H619" s="80"/>
      <c r="I619" s="36" t="s">
        <v>4435</v>
      </c>
      <c r="J619" s="34" t="s">
        <v>4674</v>
      </c>
      <c r="K619" s="37"/>
      <c r="L619" s="38">
        <v>41502</v>
      </c>
      <c r="M619" s="39">
        <v>42568</v>
      </c>
      <c r="N619" s="42">
        <v>150356.01</v>
      </c>
      <c r="O619" s="85">
        <v>41992</v>
      </c>
      <c r="P619" s="86">
        <v>42143</v>
      </c>
      <c r="Q619" s="41">
        <v>12698.38</v>
      </c>
      <c r="R619" s="41">
        <v>163054.39000000001</v>
      </c>
      <c r="S619" s="80"/>
      <c r="T619" s="81"/>
      <c r="U619" s="80"/>
      <c r="V619" s="80"/>
      <c r="W619" s="42"/>
      <c r="X619" s="42">
        <v>62447.55</v>
      </c>
      <c r="Y619" s="34" t="s">
        <v>4321</v>
      </c>
      <c r="Z619" s="19" t="s">
        <v>7038</v>
      </c>
      <c r="AA619" s="28"/>
      <c r="AB619" s="56"/>
      <c r="AC619" s="28"/>
      <c r="AD619" s="28"/>
      <c r="AE619" s="54"/>
      <c r="AF619" s="54"/>
      <c r="AG619" s="54"/>
      <c r="AH619" s="53"/>
      <c r="AI619" s="53" t="s">
        <v>1591</v>
      </c>
      <c r="AJ619" s="53" t="s">
        <v>1591</v>
      </c>
    </row>
    <row r="620" spans="1:36" s="3" customFormat="1" ht="84" x14ac:dyDescent="0.25">
      <c r="A620" s="35" t="s">
        <v>2834</v>
      </c>
      <c r="B620" s="18" t="s">
        <v>37</v>
      </c>
      <c r="C620" s="76"/>
      <c r="D620" s="43" t="s">
        <v>4675</v>
      </c>
      <c r="E620" s="78"/>
      <c r="F620" s="36" t="s">
        <v>252</v>
      </c>
      <c r="G620" s="80"/>
      <c r="H620" s="80"/>
      <c r="I620" s="36" t="s">
        <v>4676</v>
      </c>
      <c r="J620" s="34" t="s">
        <v>4677</v>
      </c>
      <c r="K620" s="37"/>
      <c r="L620" s="38">
        <v>41761</v>
      </c>
      <c r="M620" s="39">
        <v>41945</v>
      </c>
      <c r="N620" s="42">
        <v>100085.13</v>
      </c>
      <c r="O620" s="85">
        <v>41850</v>
      </c>
      <c r="P620" s="86">
        <v>41943</v>
      </c>
      <c r="Q620" s="41">
        <v>23568.400000000001</v>
      </c>
      <c r="R620" s="41">
        <v>123653.53</v>
      </c>
      <c r="S620" s="80"/>
      <c r="T620" s="81"/>
      <c r="U620" s="80"/>
      <c r="V620" s="80"/>
      <c r="W620" s="42"/>
      <c r="X620" s="42">
        <v>38469.040000000001</v>
      </c>
      <c r="Y620" s="34" t="s">
        <v>4321</v>
      </c>
      <c r="Z620" s="19" t="s">
        <v>7038</v>
      </c>
      <c r="AA620" s="28" t="s">
        <v>7573</v>
      </c>
      <c r="AB620" s="56">
        <v>43417</v>
      </c>
      <c r="AC620" s="28" t="s">
        <v>7574</v>
      </c>
      <c r="AD620" s="28" t="s">
        <v>7575</v>
      </c>
      <c r="AE620" s="54" t="s">
        <v>7584</v>
      </c>
      <c r="AF620" s="54"/>
      <c r="AG620" s="54" t="s">
        <v>7585</v>
      </c>
      <c r="AH620" s="53" t="s">
        <v>1591</v>
      </c>
      <c r="AI620" s="53" t="s">
        <v>2686</v>
      </c>
      <c r="AJ620" s="53" t="s">
        <v>1591</v>
      </c>
    </row>
    <row r="621" spans="1:36" s="3" customFormat="1" ht="84" x14ac:dyDescent="0.25">
      <c r="A621" s="35" t="s">
        <v>2834</v>
      </c>
      <c r="B621" s="18" t="s">
        <v>37</v>
      </c>
      <c r="C621" s="76"/>
      <c r="D621" s="43" t="s">
        <v>4673</v>
      </c>
      <c r="E621" s="78"/>
      <c r="F621" s="36" t="s">
        <v>955</v>
      </c>
      <c r="G621" s="80"/>
      <c r="H621" s="80"/>
      <c r="I621" s="36" t="s">
        <v>4676</v>
      </c>
      <c r="J621" s="34" t="s">
        <v>4677</v>
      </c>
      <c r="K621" s="37"/>
      <c r="L621" s="38">
        <v>41722</v>
      </c>
      <c r="M621" s="39">
        <v>41936</v>
      </c>
      <c r="N621" s="42">
        <v>55737.19</v>
      </c>
      <c r="O621" s="85"/>
      <c r="P621" s="86">
        <v>41936</v>
      </c>
      <c r="Q621" s="41"/>
      <c r="R621" s="41">
        <v>55737.19</v>
      </c>
      <c r="S621" s="80"/>
      <c r="T621" s="81"/>
      <c r="U621" s="80"/>
      <c r="V621" s="80"/>
      <c r="W621" s="42"/>
      <c r="X621" s="42">
        <v>0</v>
      </c>
      <c r="Y621" s="34" t="s">
        <v>4321</v>
      </c>
      <c r="Z621" s="19" t="s">
        <v>7038</v>
      </c>
      <c r="AA621" s="28" t="s">
        <v>7573</v>
      </c>
      <c r="AB621" s="56">
        <v>43417</v>
      </c>
      <c r="AC621" s="28" t="s">
        <v>7574</v>
      </c>
      <c r="AD621" s="28" t="s">
        <v>7575</v>
      </c>
      <c r="AE621" s="54" t="s">
        <v>7586</v>
      </c>
      <c r="AF621" s="54"/>
      <c r="AG621" s="54" t="s">
        <v>7587</v>
      </c>
      <c r="AH621" s="53" t="s">
        <v>1591</v>
      </c>
      <c r="AI621" s="53" t="s">
        <v>2686</v>
      </c>
      <c r="AJ621" s="53" t="s">
        <v>1591</v>
      </c>
    </row>
    <row r="622" spans="1:36" s="3" customFormat="1" ht="60" x14ac:dyDescent="0.25">
      <c r="A622" s="17" t="s">
        <v>981</v>
      </c>
      <c r="B622" s="18" t="s">
        <v>37</v>
      </c>
      <c r="C622" s="76" t="s">
        <v>4687</v>
      </c>
      <c r="D622" s="45" t="s">
        <v>7061</v>
      </c>
      <c r="E622" s="78"/>
      <c r="F622" s="79"/>
      <c r="G622" s="80"/>
      <c r="H622" s="80"/>
      <c r="I622" s="78" t="s">
        <v>4688</v>
      </c>
      <c r="J622" s="79" t="s">
        <v>4689</v>
      </c>
      <c r="K622" s="81"/>
      <c r="L622" s="82">
        <v>42174</v>
      </c>
      <c r="M622" s="83"/>
      <c r="N622" s="80">
        <v>5255612.7600000007</v>
      </c>
      <c r="O622" s="82"/>
      <c r="P622" s="84"/>
      <c r="Q622" s="80">
        <v>0</v>
      </c>
      <c r="R622" s="80">
        <v>5255612.7600000007</v>
      </c>
      <c r="S622" s="80"/>
      <c r="T622" s="81"/>
      <c r="U622" s="80"/>
      <c r="V622" s="80"/>
      <c r="W622" s="80"/>
      <c r="X622" s="80">
        <v>613612.64</v>
      </c>
      <c r="Y622" s="76" t="s">
        <v>4521</v>
      </c>
      <c r="Z622" s="19" t="s">
        <v>7038</v>
      </c>
      <c r="AA622" s="28" t="s">
        <v>8444</v>
      </c>
      <c r="AB622" s="56">
        <v>43417</v>
      </c>
      <c r="AC622" s="28" t="s">
        <v>7588</v>
      </c>
      <c r="AD622" s="28" t="s">
        <v>7589</v>
      </c>
      <c r="AE622" s="54" t="s">
        <v>7590</v>
      </c>
      <c r="AF622" s="54"/>
      <c r="AG622" s="54" t="s">
        <v>7591</v>
      </c>
      <c r="AH622" s="53" t="s">
        <v>1591</v>
      </c>
      <c r="AI622" s="53" t="s">
        <v>2686</v>
      </c>
      <c r="AJ622" s="53" t="s">
        <v>1591</v>
      </c>
    </row>
    <row r="623" spans="1:36" s="3" customFormat="1" ht="72" x14ac:dyDescent="0.25">
      <c r="A623" s="17" t="s">
        <v>981</v>
      </c>
      <c r="B623" s="18" t="s">
        <v>37</v>
      </c>
      <c r="C623" s="76" t="s">
        <v>4684</v>
      </c>
      <c r="D623" s="45" t="s">
        <v>7060</v>
      </c>
      <c r="E623" s="78"/>
      <c r="F623" s="79"/>
      <c r="G623" s="80"/>
      <c r="H623" s="80"/>
      <c r="I623" s="78" t="s">
        <v>4685</v>
      </c>
      <c r="J623" s="79" t="s">
        <v>4686</v>
      </c>
      <c r="K623" s="81"/>
      <c r="L623" s="82">
        <v>42403</v>
      </c>
      <c r="M623" s="83">
        <v>42673</v>
      </c>
      <c r="N623" s="80">
        <v>2170466.08</v>
      </c>
      <c r="O623" s="82"/>
      <c r="P623" s="84"/>
      <c r="Q623" s="80">
        <v>0</v>
      </c>
      <c r="R623" s="80">
        <v>2170466.08</v>
      </c>
      <c r="S623" s="80"/>
      <c r="T623" s="81"/>
      <c r="U623" s="80"/>
      <c r="V623" s="80"/>
      <c r="W623" s="80"/>
      <c r="X623" s="80">
        <v>245530.03</v>
      </c>
      <c r="Y623" s="76" t="s">
        <v>4521</v>
      </c>
      <c r="Z623" s="19" t="s">
        <v>7038</v>
      </c>
      <c r="AA623" s="28" t="s">
        <v>8444</v>
      </c>
      <c r="AB623" s="56">
        <v>43417</v>
      </c>
      <c r="AC623" s="28" t="s">
        <v>7588</v>
      </c>
      <c r="AD623" s="28" t="s">
        <v>7589</v>
      </c>
      <c r="AE623" s="54" t="s">
        <v>7592</v>
      </c>
      <c r="AF623" s="54"/>
      <c r="AG623" s="54" t="s">
        <v>7593</v>
      </c>
      <c r="AH623" s="53" t="s">
        <v>1591</v>
      </c>
      <c r="AI623" s="53" t="s">
        <v>2686</v>
      </c>
      <c r="AJ623" s="53" t="s">
        <v>1591</v>
      </c>
    </row>
    <row r="624" spans="1:36" s="3" customFormat="1" ht="24" x14ac:dyDescent="0.25">
      <c r="A624" s="35" t="s">
        <v>981</v>
      </c>
      <c r="B624" s="18" t="s">
        <v>37</v>
      </c>
      <c r="C624" s="19" t="s">
        <v>3440</v>
      </c>
      <c r="D624" s="45" t="s">
        <v>3441</v>
      </c>
      <c r="E624" s="50"/>
      <c r="F624" s="58"/>
      <c r="G624" s="51"/>
      <c r="H624" s="51"/>
      <c r="I624" s="50" t="s">
        <v>984</v>
      </c>
      <c r="J624" s="58" t="s">
        <v>985</v>
      </c>
      <c r="K624" s="52" t="s">
        <v>3674</v>
      </c>
      <c r="L624" s="59" t="s">
        <v>3729</v>
      </c>
      <c r="M624" s="60">
        <f>L624+180</f>
        <v>42535</v>
      </c>
      <c r="N624" s="51">
        <v>1778542.94</v>
      </c>
      <c r="O624" s="59"/>
      <c r="P624" s="59">
        <v>0</v>
      </c>
      <c r="Q624" s="51"/>
      <c r="R624" s="51">
        <f>N624+Q624</f>
        <v>1778542.94</v>
      </c>
      <c r="S624" s="51"/>
      <c r="T624" s="52"/>
      <c r="U624" s="51"/>
      <c r="V624" s="51">
        <v>491457.44</v>
      </c>
      <c r="W624" s="51"/>
      <c r="X624" s="51">
        <v>1543606.05</v>
      </c>
      <c r="Y624" s="19"/>
      <c r="Z624" s="19"/>
      <c r="AA624" s="28" t="s">
        <v>8444</v>
      </c>
      <c r="AB624" s="56">
        <v>43417</v>
      </c>
      <c r="AC624" s="28" t="s">
        <v>7588</v>
      </c>
      <c r="AD624" s="28" t="s">
        <v>7589</v>
      </c>
      <c r="AE624" s="54"/>
      <c r="AF624" s="54"/>
      <c r="AG624" s="54" t="s">
        <v>8383</v>
      </c>
      <c r="AH624" s="53" t="s">
        <v>1591</v>
      </c>
      <c r="AI624" s="53" t="s">
        <v>2686</v>
      </c>
      <c r="AJ624" s="53" t="s">
        <v>1591</v>
      </c>
    </row>
    <row r="625" spans="1:36" s="3" customFormat="1" ht="72" x14ac:dyDescent="0.25">
      <c r="A625" s="35" t="s">
        <v>981</v>
      </c>
      <c r="B625" s="18" t="s">
        <v>37</v>
      </c>
      <c r="C625" s="76"/>
      <c r="D625" s="43" t="s">
        <v>4678</v>
      </c>
      <c r="E625" s="78"/>
      <c r="F625" s="36"/>
      <c r="G625" s="80"/>
      <c r="H625" s="80"/>
      <c r="I625" s="36" t="s">
        <v>4679</v>
      </c>
      <c r="J625" s="34" t="s">
        <v>4680</v>
      </c>
      <c r="K625" s="37" t="s">
        <v>4681</v>
      </c>
      <c r="L625" s="38">
        <v>41757</v>
      </c>
      <c r="M625" s="39">
        <v>42057</v>
      </c>
      <c r="N625" s="42">
        <v>1437608.34</v>
      </c>
      <c r="O625" s="85"/>
      <c r="P625" s="86">
        <v>42057</v>
      </c>
      <c r="Q625" s="41"/>
      <c r="R625" s="41">
        <v>1437608.34</v>
      </c>
      <c r="S625" s="80"/>
      <c r="T625" s="81"/>
      <c r="U625" s="80"/>
      <c r="V625" s="80"/>
      <c r="W625" s="42"/>
      <c r="X625" s="42">
        <v>933259.04</v>
      </c>
      <c r="Y625" s="34" t="s">
        <v>4321</v>
      </c>
      <c r="Z625" s="19" t="s">
        <v>7038</v>
      </c>
      <c r="AA625" s="28" t="s">
        <v>8444</v>
      </c>
      <c r="AB625" s="56">
        <v>43417</v>
      </c>
      <c r="AC625" s="28" t="s">
        <v>7588</v>
      </c>
      <c r="AD625" s="28" t="s">
        <v>7589</v>
      </c>
      <c r="AE625" s="54" t="s">
        <v>7594</v>
      </c>
      <c r="AF625" s="54"/>
      <c r="AG625" s="54" t="s">
        <v>7595</v>
      </c>
      <c r="AH625" s="53" t="s">
        <v>1591</v>
      </c>
      <c r="AI625" s="53" t="s">
        <v>2686</v>
      </c>
      <c r="AJ625" s="53" t="s">
        <v>1591</v>
      </c>
    </row>
    <row r="626" spans="1:36" s="3" customFormat="1" ht="84" x14ac:dyDescent="0.25">
      <c r="A626" s="17" t="s">
        <v>981</v>
      </c>
      <c r="B626" s="18" t="s">
        <v>37</v>
      </c>
      <c r="C626" s="76" t="s">
        <v>4683</v>
      </c>
      <c r="D626" s="45" t="s">
        <v>7059</v>
      </c>
      <c r="E626" s="78"/>
      <c r="F626" s="79"/>
      <c r="G626" s="80"/>
      <c r="H626" s="80"/>
      <c r="I626" s="78" t="s">
        <v>984</v>
      </c>
      <c r="J626" s="79" t="s">
        <v>985</v>
      </c>
      <c r="K626" s="81"/>
      <c r="L626" s="82">
        <v>42384</v>
      </c>
      <c r="M626" s="83">
        <v>42534</v>
      </c>
      <c r="N626" s="80">
        <v>789914.46</v>
      </c>
      <c r="O626" s="82"/>
      <c r="P626" s="84"/>
      <c r="Q626" s="80">
        <v>0</v>
      </c>
      <c r="R626" s="80">
        <v>789914.46</v>
      </c>
      <c r="S626" s="80"/>
      <c r="T626" s="81"/>
      <c r="U626" s="80"/>
      <c r="V626" s="80"/>
      <c r="W626" s="80"/>
      <c r="X626" s="80">
        <v>82537.740000000005</v>
      </c>
      <c r="Y626" s="76" t="s">
        <v>4521</v>
      </c>
      <c r="Z626" s="19" t="s">
        <v>7038</v>
      </c>
      <c r="AA626" s="28" t="s">
        <v>8444</v>
      </c>
      <c r="AB626" s="56">
        <v>43417</v>
      </c>
      <c r="AC626" s="28" t="s">
        <v>7588</v>
      </c>
      <c r="AD626" s="28" t="s">
        <v>7589</v>
      </c>
      <c r="AE626" s="54" t="s">
        <v>7596</v>
      </c>
      <c r="AF626" s="54"/>
      <c r="AG626" s="54" t="s">
        <v>7597</v>
      </c>
      <c r="AH626" s="53" t="s">
        <v>1591</v>
      </c>
      <c r="AI626" s="53" t="s">
        <v>2686</v>
      </c>
      <c r="AJ626" s="53" t="s">
        <v>1591</v>
      </c>
    </row>
    <row r="627" spans="1:36" s="3" customFormat="1" ht="72" x14ac:dyDescent="0.25">
      <c r="A627" s="35" t="s">
        <v>981</v>
      </c>
      <c r="B627" s="18" t="s">
        <v>37</v>
      </c>
      <c r="C627" s="19" t="s">
        <v>987</v>
      </c>
      <c r="D627" s="45" t="s">
        <v>2714</v>
      </c>
      <c r="E627" s="50"/>
      <c r="F627" s="58"/>
      <c r="G627" s="51"/>
      <c r="H627" s="51"/>
      <c r="I627" s="50" t="s">
        <v>988</v>
      </c>
      <c r="J627" s="58" t="s">
        <v>3730</v>
      </c>
      <c r="K627" s="52"/>
      <c r="L627" s="59">
        <v>42521</v>
      </c>
      <c r="M627" s="60">
        <f>L627+120</f>
        <v>42641</v>
      </c>
      <c r="N627" s="51">
        <v>642916.13</v>
      </c>
      <c r="O627" s="59"/>
      <c r="P627" s="59">
        <v>0</v>
      </c>
      <c r="Q627" s="51"/>
      <c r="R627" s="51">
        <f>N627+Q627</f>
        <v>642916.13</v>
      </c>
      <c r="S627" s="51"/>
      <c r="T627" s="52"/>
      <c r="U627" s="51"/>
      <c r="V627" s="51">
        <v>175290.93</v>
      </c>
      <c r="W627" s="51"/>
      <c r="X627" s="51">
        <v>223218.56</v>
      </c>
      <c r="Y627" s="19"/>
      <c r="Z627" s="19"/>
      <c r="AA627" s="28" t="s">
        <v>8444</v>
      </c>
      <c r="AB627" s="56">
        <v>43417</v>
      </c>
      <c r="AC627" s="28" t="s">
        <v>7588</v>
      </c>
      <c r="AD627" s="28" t="s">
        <v>7589</v>
      </c>
      <c r="AE627" s="54" t="s">
        <v>7596</v>
      </c>
      <c r="AF627" s="54"/>
      <c r="AG627" s="54" t="s">
        <v>7598</v>
      </c>
      <c r="AH627" s="53" t="s">
        <v>1591</v>
      </c>
      <c r="AI627" s="53"/>
      <c r="AJ627" s="53" t="s">
        <v>1591</v>
      </c>
    </row>
    <row r="628" spans="1:36" s="3" customFormat="1" ht="24" x14ac:dyDescent="0.25">
      <c r="A628" s="35" t="s">
        <v>981</v>
      </c>
      <c r="B628" s="18" t="s">
        <v>37</v>
      </c>
      <c r="C628" s="19" t="s">
        <v>966</v>
      </c>
      <c r="D628" s="45" t="s">
        <v>3442</v>
      </c>
      <c r="E628" s="50"/>
      <c r="F628" s="58"/>
      <c r="G628" s="51"/>
      <c r="H628" s="51"/>
      <c r="I628" s="50" t="s">
        <v>3731</v>
      </c>
      <c r="J628" s="58" t="s">
        <v>3732</v>
      </c>
      <c r="K628" s="52"/>
      <c r="L628" s="59" t="s">
        <v>3733</v>
      </c>
      <c r="M628" s="60">
        <f>L628+240</f>
        <v>42435</v>
      </c>
      <c r="N628" s="51">
        <v>546722.84</v>
      </c>
      <c r="O628" s="59"/>
      <c r="P628" s="59">
        <v>0</v>
      </c>
      <c r="Q628" s="51"/>
      <c r="R628" s="51">
        <f>N628+Q628</f>
        <v>546722.84</v>
      </c>
      <c r="S628" s="51"/>
      <c r="T628" s="52"/>
      <c r="U628" s="51"/>
      <c r="V628" s="51">
        <v>164280.01</v>
      </c>
      <c r="W628" s="51"/>
      <c r="X628" s="51">
        <v>164280.01</v>
      </c>
      <c r="Y628" s="19"/>
      <c r="Z628" s="19"/>
      <c r="AA628" s="28" t="s">
        <v>8444</v>
      </c>
      <c r="AB628" s="56">
        <v>43417</v>
      </c>
      <c r="AC628" s="28" t="s">
        <v>7588</v>
      </c>
      <c r="AD628" s="28" t="s">
        <v>7589</v>
      </c>
      <c r="AE628" s="54"/>
      <c r="AF628" s="54"/>
      <c r="AG628" s="54" t="s">
        <v>8384</v>
      </c>
      <c r="AH628" s="53" t="s">
        <v>1591</v>
      </c>
      <c r="AI628" s="53" t="s">
        <v>2686</v>
      </c>
      <c r="AJ628" s="53" t="s">
        <v>1591</v>
      </c>
    </row>
    <row r="629" spans="1:36" s="3" customFormat="1" ht="60" x14ac:dyDescent="0.25">
      <c r="A629" s="17" t="s">
        <v>981</v>
      </c>
      <c r="B629" s="18" t="s">
        <v>37</v>
      </c>
      <c r="C629" s="76" t="s">
        <v>4682</v>
      </c>
      <c r="D629" s="45" t="s">
        <v>7058</v>
      </c>
      <c r="E629" s="78"/>
      <c r="F629" s="79"/>
      <c r="G629" s="80"/>
      <c r="H629" s="80"/>
      <c r="I629" s="78" t="s">
        <v>982</v>
      </c>
      <c r="J629" s="79" t="s">
        <v>983</v>
      </c>
      <c r="K629" s="81"/>
      <c r="L629" s="82">
        <v>42384</v>
      </c>
      <c r="M629" s="83">
        <v>42504</v>
      </c>
      <c r="N629" s="80">
        <v>372284.94</v>
      </c>
      <c r="O629" s="82"/>
      <c r="P629" s="84"/>
      <c r="Q629" s="80">
        <v>0</v>
      </c>
      <c r="R629" s="80">
        <v>372284.94</v>
      </c>
      <c r="S629" s="80"/>
      <c r="T629" s="81"/>
      <c r="U629" s="80"/>
      <c r="V629" s="80"/>
      <c r="W629" s="80"/>
      <c r="X629" s="80">
        <v>281720.19</v>
      </c>
      <c r="Y629" s="76" t="s">
        <v>4521</v>
      </c>
      <c r="Z629" s="19" t="s">
        <v>7038</v>
      </c>
      <c r="AA629" s="28" t="s">
        <v>8444</v>
      </c>
      <c r="AB629" s="56">
        <v>43417</v>
      </c>
      <c r="AC629" s="28" t="s">
        <v>7588</v>
      </c>
      <c r="AD629" s="28" t="s">
        <v>7589</v>
      </c>
      <c r="AE629" s="54" t="s">
        <v>7596</v>
      </c>
      <c r="AF629" s="54"/>
      <c r="AG629" s="54" t="s">
        <v>7599</v>
      </c>
      <c r="AH629" s="53" t="s">
        <v>1591</v>
      </c>
      <c r="AI629" s="53"/>
      <c r="AJ629" s="53" t="s">
        <v>1591</v>
      </c>
    </row>
    <row r="630" spans="1:36" s="3" customFormat="1" ht="84" x14ac:dyDescent="0.25">
      <c r="A630" s="17" t="s">
        <v>989</v>
      </c>
      <c r="B630" s="18" t="s">
        <v>37</v>
      </c>
      <c r="C630" s="76" t="s">
        <v>4691</v>
      </c>
      <c r="D630" s="45" t="s">
        <v>4692</v>
      </c>
      <c r="E630" s="78" t="s">
        <v>4693</v>
      </c>
      <c r="F630" s="79" t="s">
        <v>4694</v>
      </c>
      <c r="G630" s="80">
        <v>900000</v>
      </c>
      <c r="H630" s="80">
        <v>48932.7</v>
      </c>
      <c r="I630" s="78" t="s">
        <v>247</v>
      </c>
      <c r="J630" s="79" t="s">
        <v>4695</v>
      </c>
      <c r="K630" s="81" t="s">
        <v>990</v>
      </c>
      <c r="L630" s="82">
        <v>40190</v>
      </c>
      <c r="M630" s="83">
        <v>40370</v>
      </c>
      <c r="N630" s="80">
        <v>940796.63</v>
      </c>
      <c r="O630" s="82">
        <v>40371</v>
      </c>
      <c r="P630" s="84" t="s">
        <v>4696</v>
      </c>
      <c r="Q630" s="80">
        <v>0</v>
      </c>
      <c r="R630" s="80">
        <v>940796.63</v>
      </c>
      <c r="S630" s="80"/>
      <c r="T630" s="81" t="s">
        <v>4697</v>
      </c>
      <c r="U630" s="80">
        <v>420389.22</v>
      </c>
      <c r="V630" s="80"/>
      <c r="W630" s="80"/>
      <c r="X630" s="80">
        <v>420389.22</v>
      </c>
      <c r="Y630" s="76" t="s">
        <v>4521</v>
      </c>
      <c r="Z630" s="19" t="s">
        <v>7038</v>
      </c>
      <c r="AA630" s="28" t="s">
        <v>8445</v>
      </c>
      <c r="AB630" s="56">
        <v>43404</v>
      </c>
      <c r="AC630" s="28" t="s">
        <v>3129</v>
      </c>
      <c r="AD630" s="28" t="s">
        <v>7600</v>
      </c>
      <c r="AE630" s="54" t="s">
        <v>7601</v>
      </c>
      <c r="AF630" s="54"/>
      <c r="AG630" s="54" t="s">
        <v>7602</v>
      </c>
      <c r="AH630" s="53"/>
      <c r="AI630" s="53" t="s">
        <v>1591</v>
      </c>
      <c r="AJ630" s="53" t="s">
        <v>1591</v>
      </c>
    </row>
    <row r="631" spans="1:36" s="3" customFormat="1" ht="108" x14ac:dyDescent="0.25">
      <c r="A631" s="17" t="s">
        <v>989</v>
      </c>
      <c r="B631" s="18" t="s">
        <v>37</v>
      </c>
      <c r="C631" s="76" t="s">
        <v>4698</v>
      </c>
      <c r="D631" s="45" t="s">
        <v>4699</v>
      </c>
      <c r="E631" s="78" t="s">
        <v>4700</v>
      </c>
      <c r="F631" s="79" t="s">
        <v>4694</v>
      </c>
      <c r="G631" s="80">
        <v>600000</v>
      </c>
      <c r="H631" s="80">
        <v>31688.33</v>
      </c>
      <c r="I631" s="78" t="s">
        <v>994</v>
      </c>
      <c r="J631" s="79" t="s">
        <v>4701</v>
      </c>
      <c r="K631" s="81" t="s">
        <v>990</v>
      </c>
      <c r="L631" s="82">
        <v>40471</v>
      </c>
      <c r="M631" s="83">
        <v>40651</v>
      </c>
      <c r="N631" s="80">
        <v>627749.89</v>
      </c>
      <c r="O631" s="82">
        <v>40653</v>
      </c>
      <c r="P631" s="84" t="s">
        <v>4702</v>
      </c>
      <c r="Q631" s="80">
        <v>0</v>
      </c>
      <c r="R631" s="80">
        <v>627749.89</v>
      </c>
      <c r="S631" s="80"/>
      <c r="T631" s="81" t="s">
        <v>4697</v>
      </c>
      <c r="U631" s="80">
        <v>432846.66</v>
      </c>
      <c r="V631" s="80"/>
      <c r="W631" s="80"/>
      <c r="X631" s="80">
        <v>432846.66</v>
      </c>
      <c r="Y631" s="76" t="s">
        <v>4703</v>
      </c>
      <c r="Z631" s="19" t="s">
        <v>7038</v>
      </c>
      <c r="AA631" s="28" t="s">
        <v>8445</v>
      </c>
      <c r="AB631" s="56">
        <v>43404</v>
      </c>
      <c r="AC631" s="28" t="s">
        <v>3129</v>
      </c>
      <c r="AD631" s="28" t="s">
        <v>7600</v>
      </c>
      <c r="AE631" s="54" t="s">
        <v>7601</v>
      </c>
      <c r="AF631" s="54"/>
      <c r="AG631" s="54" t="s">
        <v>7603</v>
      </c>
      <c r="AH631" s="53"/>
      <c r="AI631" s="53" t="s">
        <v>1591</v>
      </c>
      <c r="AJ631" s="53" t="s">
        <v>1591</v>
      </c>
    </row>
    <row r="632" spans="1:36" s="3" customFormat="1" ht="120" x14ac:dyDescent="0.25">
      <c r="A632" s="17" t="s">
        <v>989</v>
      </c>
      <c r="B632" s="18" t="s">
        <v>37</v>
      </c>
      <c r="C632" s="76" t="s">
        <v>4704</v>
      </c>
      <c r="D632" s="45" t="s">
        <v>4705</v>
      </c>
      <c r="E632" s="78" t="s">
        <v>4706</v>
      </c>
      <c r="F632" s="79" t="s">
        <v>4707</v>
      </c>
      <c r="G632" s="80" t="s">
        <v>4690</v>
      </c>
      <c r="H632" s="80" t="s">
        <v>4690</v>
      </c>
      <c r="I632" s="78" t="s">
        <v>4435</v>
      </c>
      <c r="J632" s="79" t="s">
        <v>4708</v>
      </c>
      <c r="K632" s="81" t="s">
        <v>946</v>
      </c>
      <c r="L632" s="82">
        <v>41495</v>
      </c>
      <c r="M632" s="83">
        <v>41525</v>
      </c>
      <c r="N632" s="80">
        <v>287390.33</v>
      </c>
      <c r="O632" s="82">
        <v>41526</v>
      </c>
      <c r="P632" s="84" t="s">
        <v>4690</v>
      </c>
      <c r="Q632" s="80">
        <v>0</v>
      </c>
      <c r="R632" s="80">
        <v>287390.33</v>
      </c>
      <c r="S632" s="80"/>
      <c r="T632" s="81" t="s">
        <v>132</v>
      </c>
      <c r="U632" s="80"/>
      <c r="V632" s="80"/>
      <c r="W632" s="80"/>
      <c r="X632" s="80"/>
      <c r="Y632" s="76" t="s">
        <v>127</v>
      </c>
      <c r="Z632" s="19" t="s">
        <v>7038</v>
      </c>
      <c r="AA632" s="28" t="s">
        <v>8445</v>
      </c>
      <c r="AB632" s="56">
        <v>43404</v>
      </c>
      <c r="AC632" s="28" t="s">
        <v>3129</v>
      </c>
      <c r="AD632" s="28" t="s">
        <v>7600</v>
      </c>
      <c r="AE632" s="54" t="s">
        <v>7604</v>
      </c>
      <c r="AF632" s="54"/>
      <c r="AG632" s="54" t="s">
        <v>7605</v>
      </c>
      <c r="AH632" s="53"/>
      <c r="AI632" s="53" t="s">
        <v>1591</v>
      </c>
      <c r="AJ632" s="53" t="s">
        <v>1591</v>
      </c>
    </row>
    <row r="633" spans="1:36" s="3" customFormat="1" ht="60" x14ac:dyDescent="0.25">
      <c r="A633" s="17" t="s">
        <v>995</v>
      </c>
      <c r="B633" s="18" t="s">
        <v>37</v>
      </c>
      <c r="C633" s="76" t="s">
        <v>4710</v>
      </c>
      <c r="D633" s="45" t="s">
        <v>4711</v>
      </c>
      <c r="E633" s="78" t="s">
        <v>4712</v>
      </c>
      <c r="F633" s="79" t="s">
        <v>4713</v>
      </c>
      <c r="G633" s="80">
        <v>27830728.82</v>
      </c>
      <c r="H633" s="80"/>
      <c r="I633" s="78"/>
      <c r="J633" s="79" t="s">
        <v>4714</v>
      </c>
      <c r="K633" s="81" t="s">
        <v>4715</v>
      </c>
      <c r="L633" s="82">
        <v>41170</v>
      </c>
      <c r="M633" s="83" t="s">
        <v>4716</v>
      </c>
      <c r="N633" s="80">
        <v>28259741.719999999</v>
      </c>
      <c r="O633" s="82"/>
      <c r="P633" s="84"/>
      <c r="Q633" s="80">
        <v>2237322.0500000007</v>
      </c>
      <c r="R633" s="80">
        <v>30497063.77</v>
      </c>
      <c r="S633" s="80">
        <v>2110174.5099999998</v>
      </c>
      <c r="T633" s="81"/>
      <c r="U633" s="80">
        <v>1558887.99</v>
      </c>
      <c r="V633" s="80"/>
      <c r="W633" s="80"/>
      <c r="X633" s="80">
        <v>5767163.04</v>
      </c>
      <c r="Y633" s="76" t="s">
        <v>186</v>
      </c>
      <c r="Z633" s="19" t="s">
        <v>7038</v>
      </c>
      <c r="AA633" s="28" t="s">
        <v>7606</v>
      </c>
      <c r="AB633" s="56">
        <v>43412</v>
      </c>
      <c r="AC633" s="28" t="s">
        <v>7607</v>
      </c>
      <c r="AD633" s="28" t="s">
        <v>7608</v>
      </c>
      <c r="AE633" s="54" t="s">
        <v>7609</v>
      </c>
      <c r="AF633" s="54"/>
      <c r="AG633" s="54" t="s">
        <v>7610</v>
      </c>
      <c r="AH633" s="53" t="s">
        <v>1591</v>
      </c>
      <c r="AI633" s="53" t="s">
        <v>2686</v>
      </c>
      <c r="AJ633" s="53" t="s">
        <v>1591</v>
      </c>
    </row>
    <row r="634" spans="1:36" s="3" customFormat="1" ht="48" x14ac:dyDescent="0.25">
      <c r="A634" s="17" t="s">
        <v>995</v>
      </c>
      <c r="B634" s="18" t="s">
        <v>37</v>
      </c>
      <c r="C634" s="76" t="s">
        <v>4717</v>
      </c>
      <c r="D634" s="45" t="s">
        <v>4718</v>
      </c>
      <c r="E634" s="78" t="s">
        <v>4719</v>
      </c>
      <c r="F634" s="79" t="s">
        <v>4720</v>
      </c>
      <c r="G634" s="80">
        <v>13422199.619999999</v>
      </c>
      <c r="H634" s="80">
        <v>1625109.37</v>
      </c>
      <c r="I634" s="78"/>
      <c r="J634" s="79" t="s">
        <v>4714</v>
      </c>
      <c r="K634" s="81" t="s">
        <v>4721</v>
      </c>
      <c r="L634" s="82">
        <v>40301</v>
      </c>
      <c r="M634" s="83" t="s">
        <v>4722</v>
      </c>
      <c r="N634" s="80">
        <v>17557282.25</v>
      </c>
      <c r="O634" s="82"/>
      <c r="P634" s="84"/>
      <c r="Q634" s="80">
        <v>2778912.1700000018</v>
      </c>
      <c r="R634" s="80">
        <v>20336194.420000002</v>
      </c>
      <c r="S634" s="80">
        <v>2372916.6800000002</v>
      </c>
      <c r="T634" s="81"/>
      <c r="U634" s="80">
        <v>190737.85</v>
      </c>
      <c r="V634" s="80"/>
      <c r="W634" s="80"/>
      <c r="X634" s="80">
        <v>13183703.67</v>
      </c>
      <c r="Y634" s="76" t="s">
        <v>4723</v>
      </c>
      <c r="Z634" s="19" t="s">
        <v>7038</v>
      </c>
      <c r="AA634" s="28" t="s">
        <v>7606</v>
      </c>
      <c r="AB634" s="56">
        <v>43412</v>
      </c>
      <c r="AC634" s="28" t="s">
        <v>7607</v>
      </c>
      <c r="AD634" s="28" t="s">
        <v>7608</v>
      </c>
      <c r="AE634" s="54" t="s">
        <v>7611</v>
      </c>
      <c r="AF634" s="54"/>
      <c r="AG634" s="54" t="s">
        <v>7612</v>
      </c>
      <c r="AH634" s="53" t="s">
        <v>1591</v>
      </c>
      <c r="AI634" s="53" t="s">
        <v>2686</v>
      </c>
      <c r="AJ634" s="53" t="s">
        <v>1591</v>
      </c>
    </row>
    <row r="635" spans="1:36" s="3" customFormat="1" ht="60" x14ac:dyDescent="0.25">
      <c r="A635" s="17" t="s">
        <v>995</v>
      </c>
      <c r="B635" s="18" t="s">
        <v>37</v>
      </c>
      <c r="C635" s="76" t="s">
        <v>4724</v>
      </c>
      <c r="D635" s="45" t="s">
        <v>4725</v>
      </c>
      <c r="E635" s="78"/>
      <c r="F635" s="79"/>
      <c r="G635" s="80"/>
      <c r="H635" s="80"/>
      <c r="I635" s="78"/>
      <c r="J635" s="79" t="s">
        <v>4726</v>
      </c>
      <c r="K635" s="81" t="s">
        <v>4727</v>
      </c>
      <c r="L635" s="82"/>
      <c r="M635" s="83"/>
      <c r="N635" s="80">
        <v>20126945.66</v>
      </c>
      <c r="O635" s="82"/>
      <c r="P635" s="84"/>
      <c r="Q635" s="80">
        <v>0</v>
      </c>
      <c r="R635" s="80">
        <v>20126945.66</v>
      </c>
      <c r="S635" s="80"/>
      <c r="T635" s="81"/>
      <c r="U635" s="80"/>
      <c r="V635" s="80"/>
      <c r="W635" s="80"/>
      <c r="X635" s="80">
        <v>17366740.539999999</v>
      </c>
      <c r="Y635" s="76" t="s">
        <v>997</v>
      </c>
      <c r="Z635" s="19" t="s">
        <v>7038</v>
      </c>
      <c r="AA635" s="28" t="s">
        <v>7606</v>
      </c>
      <c r="AB635" s="56">
        <v>43412</v>
      </c>
      <c r="AC635" s="28" t="s">
        <v>7607</v>
      </c>
      <c r="AD635" s="28" t="s">
        <v>7608</v>
      </c>
      <c r="AE635" s="54" t="s">
        <v>7613</v>
      </c>
      <c r="AF635" s="54"/>
      <c r="AG635" s="54" t="s">
        <v>7614</v>
      </c>
      <c r="AH635" s="53" t="s">
        <v>1591</v>
      </c>
      <c r="AI635" s="53" t="s">
        <v>2686</v>
      </c>
      <c r="AJ635" s="53" t="s">
        <v>1591</v>
      </c>
    </row>
    <row r="636" spans="1:36" s="3" customFormat="1" ht="36" x14ac:dyDescent="0.25">
      <c r="A636" s="17" t="s">
        <v>995</v>
      </c>
      <c r="B636" s="18" t="s">
        <v>37</v>
      </c>
      <c r="C636" s="76" t="s">
        <v>4728</v>
      </c>
      <c r="D636" s="45" t="s">
        <v>4729</v>
      </c>
      <c r="E636" s="78" t="s">
        <v>4730</v>
      </c>
      <c r="F636" s="79" t="s">
        <v>998</v>
      </c>
      <c r="G636" s="80">
        <v>6825000</v>
      </c>
      <c r="H636" s="80">
        <v>360000</v>
      </c>
      <c r="I636" s="78"/>
      <c r="J636" s="79" t="s">
        <v>4731</v>
      </c>
      <c r="K636" s="81" t="s">
        <v>4732</v>
      </c>
      <c r="L636" s="82"/>
      <c r="M636" s="83"/>
      <c r="N636" s="80">
        <v>8968170.25</v>
      </c>
      <c r="O636" s="82"/>
      <c r="P636" s="84"/>
      <c r="Q636" s="80">
        <v>2719985.2300000004</v>
      </c>
      <c r="R636" s="80">
        <v>11688155.48</v>
      </c>
      <c r="S636" s="80"/>
      <c r="T636" s="81"/>
      <c r="U636" s="80"/>
      <c r="V636" s="80"/>
      <c r="W636" s="80"/>
      <c r="X636" s="80">
        <v>10217594.869999999</v>
      </c>
      <c r="Y636" s="76" t="s">
        <v>997</v>
      </c>
      <c r="Z636" s="19" t="s">
        <v>7038</v>
      </c>
      <c r="AA636" s="28" t="s">
        <v>7606</v>
      </c>
      <c r="AB636" s="56">
        <v>43412</v>
      </c>
      <c r="AC636" s="28" t="s">
        <v>7607</v>
      </c>
      <c r="AD636" s="28" t="s">
        <v>7608</v>
      </c>
      <c r="AE636" s="54" t="s">
        <v>7615</v>
      </c>
      <c r="AF636" s="54"/>
      <c r="AG636" s="54" t="s">
        <v>7616</v>
      </c>
      <c r="AH636" s="53" t="s">
        <v>1591</v>
      </c>
      <c r="AI636" s="53" t="s">
        <v>2686</v>
      </c>
      <c r="AJ636" s="53" t="s">
        <v>1591</v>
      </c>
    </row>
    <row r="637" spans="1:36" s="3" customFormat="1" ht="36" x14ac:dyDescent="0.25">
      <c r="A637" s="17" t="s">
        <v>995</v>
      </c>
      <c r="B637" s="18" t="s">
        <v>37</v>
      </c>
      <c r="C637" s="76" t="s">
        <v>4733</v>
      </c>
      <c r="D637" s="45" t="s">
        <v>4734</v>
      </c>
      <c r="E637" s="78" t="s">
        <v>4735</v>
      </c>
      <c r="F637" s="79" t="s">
        <v>4713</v>
      </c>
      <c r="G637" s="80">
        <v>7432891.8799999999</v>
      </c>
      <c r="H637" s="80">
        <v>391204.84</v>
      </c>
      <c r="I637" s="78"/>
      <c r="J637" s="79" t="s">
        <v>1000</v>
      </c>
      <c r="K637" s="81" t="s">
        <v>4736</v>
      </c>
      <c r="L637" s="82">
        <v>41009</v>
      </c>
      <c r="M637" s="83" t="s">
        <v>4737</v>
      </c>
      <c r="N637" s="80">
        <v>9960823.3699999992</v>
      </c>
      <c r="O637" s="82"/>
      <c r="P637" s="84"/>
      <c r="Q637" s="80">
        <v>1032941.4100000001</v>
      </c>
      <c r="R637" s="80">
        <v>10993764.779999999</v>
      </c>
      <c r="S637" s="80">
        <v>1361744.68</v>
      </c>
      <c r="T637" s="81"/>
      <c r="U637" s="80">
        <v>153163.62</v>
      </c>
      <c r="V637" s="80"/>
      <c r="W637" s="80"/>
      <c r="X637" s="80">
        <v>4127208.28</v>
      </c>
      <c r="Y637" s="76" t="s">
        <v>186</v>
      </c>
      <c r="Z637" s="19" t="s">
        <v>7038</v>
      </c>
      <c r="AA637" s="28" t="s">
        <v>7606</v>
      </c>
      <c r="AB637" s="56">
        <v>43412</v>
      </c>
      <c r="AC637" s="28" t="s">
        <v>7607</v>
      </c>
      <c r="AD637" s="28" t="s">
        <v>7608</v>
      </c>
      <c r="AE637" s="54" t="s">
        <v>7617</v>
      </c>
      <c r="AF637" s="54"/>
      <c r="AG637" s="54" t="s">
        <v>5512</v>
      </c>
      <c r="AH637" s="53" t="s">
        <v>1591</v>
      </c>
      <c r="AI637" s="53" t="s">
        <v>2686</v>
      </c>
      <c r="AJ637" s="53" t="s">
        <v>1591</v>
      </c>
    </row>
    <row r="638" spans="1:36" s="3" customFormat="1" ht="60" x14ac:dyDescent="0.25">
      <c r="A638" s="17" t="s">
        <v>995</v>
      </c>
      <c r="B638" s="18" t="s">
        <v>37</v>
      </c>
      <c r="C638" s="76" t="s">
        <v>4738</v>
      </c>
      <c r="D638" s="45" t="s">
        <v>4739</v>
      </c>
      <c r="E638" s="78" t="s">
        <v>4740</v>
      </c>
      <c r="F638" s="79" t="s">
        <v>4741</v>
      </c>
      <c r="G638" s="80">
        <v>6921600</v>
      </c>
      <c r="H638" s="80">
        <v>587224.63</v>
      </c>
      <c r="I638" s="78"/>
      <c r="J638" s="79" t="s">
        <v>4742</v>
      </c>
      <c r="K638" s="81" t="s">
        <v>4743</v>
      </c>
      <c r="L638" s="82"/>
      <c r="M638" s="83"/>
      <c r="N638" s="80">
        <v>10140064.390000001</v>
      </c>
      <c r="O638" s="82"/>
      <c r="P638" s="84"/>
      <c r="Q638" s="80">
        <v>375348.8900000006</v>
      </c>
      <c r="R638" s="80">
        <v>10515413.280000001</v>
      </c>
      <c r="S638" s="80"/>
      <c r="T638" s="81"/>
      <c r="U638" s="80"/>
      <c r="V638" s="80"/>
      <c r="W638" s="80"/>
      <c r="X638" s="80">
        <v>6212597.0599999996</v>
      </c>
      <c r="Y638" s="76" t="s">
        <v>997</v>
      </c>
      <c r="Z638" s="19" t="s">
        <v>7038</v>
      </c>
      <c r="AA638" s="28" t="s">
        <v>7606</v>
      </c>
      <c r="AB638" s="56">
        <v>43412</v>
      </c>
      <c r="AC638" s="28" t="s">
        <v>7607</v>
      </c>
      <c r="AD638" s="28" t="s">
        <v>7608</v>
      </c>
      <c r="AE638" s="54" t="s">
        <v>7618</v>
      </c>
      <c r="AF638" s="54"/>
      <c r="AG638" s="54" t="s">
        <v>7397</v>
      </c>
      <c r="AH638" s="53" t="s">
        <v>1591</v>
      </c>
      <c r="AI638" s="53" t="s">
        <v>2686</v>
      </c>
      <c r="AJ638" s="53" t="s">
        <v>1591</v>
      </c>
    </row>
    <row r="639" spans="1:36" s="3" customFormat="1" ht="60" x14ac:dyDescent="0.25">
      <c r="A639" s="17" t="s">
        <v>995</v>
      </c>
      <c r="B639" s="18" t="s">
        <v>37</v>
      </c>
      <c r="C639" s="76" t="s">
        <v>4745</v>
      </c>
      <c r="D639" s="45" t="s">
        <v>4746</v>
      </c>
      <c r="E639" s="78" t="s">
        <v>4747</v>
      </c>
      <c r="F639" s="79" t="s">
        <v>4741</v>
      </c>
      <c r="G639" s="80">
        <v>5965237</v>
      </c>
      <c r="H639" s="80">
        <v>300000</v>
      </c>
      <c r="I639" s="78"/>
      <c r="J639" s="79" t="s">
        <v>4748</v>
      </c>
      <c r="K639" s="81" t="s">
        <v>4749</v>
      </c>
      <c r="L639" s="82"/>
      <c r="M639" s="83"/>
      <c r="N639" s="80">
        <v>6265237</v>
      </c>
      <c r="O639" s="82"/>
      <c r="P639" s="84"/>
      <c r="Q639" s="80">
        <v>962827.15000000037</v>
      </c>
      <c r="R639" s="80">
        <v>7228064.1500000004</v>
      </c>
      <c r="S639" s="80"/>
      <c r="T639" s="81"/>
      <c r="U639" s="80"/>
      <c r="V639" s="80"/>
      <c r="W639" s="80"/>
      <c r="X639" s="80">
        <v>6397838.5099999998</v>
      </c>
      <c r="Y639" s="76" t="s">
        <v>997</v>
      </c>
      <c r="Z639" s="19" t="s">
        <v>7038</v>
      </c>
      <c r="AA639" s="28" t="s">
        <v>7606</v>
      </c>
      <c r="AB639" s="56">
        <v>43412</v>
      </c>
      <c r="AC639" s="28" t="s">
        <v>7607</v>
      </c>
      <c r="AD639" s="28" t="s">
        <v>7608</v>
      </c>
      <c r="AE639" s="54" t="s">
        <v>7617</v>
      </c>
      <c r="AF639" s="54"/>
      <c r="AG639" s="54" t="s">
        <v>7619</v>
      </c>
      <c r="AH639" s="53" t="s">
        <v>1591</v>
      </c>
      <c r="AI639" s="53" t="s">
        <v>2686</v>
      </c>
      <c r="AJ639" s="53" t="s">
        <v>1591</v>
      </c>
    </row>
    <row r="640" spans="1:36" s="3" customFormat="1" ht="72" x14ac:dyDescent="0.25">
      <c r="A640" s="17" t="s">
        <v>995</v>
      </c>
      <c r="B640" s="18" t="s">
        <v>37</v>
      </c>
      <c r="C640" s="76" t="s">
        <v>4750</v>
      </c>
      <c r="D640" s="45" t="s">
        <v>4751</v>
      </c>
      <c r="E640" s="78" t="s">
        <v>4752</v>
      </c>
      <c r="F640" s="79" t="s">
        <v>4713</v>
      </c>
      <c r="G640" s="80">
        <v>4793295.9400000004</v>
      </c>
      <c r="H640" s="80">
        <v>1856670.68</v>
      </c>
      <c r="I640" s="78"/>
      <c r="J640" s="79" t="s">
        <v>4753</v>
      </c>
      <c r="K640" s="81" t="s">
        <v>4754</v>
      </c>
      <c r="L640" s="82">
        <v>41519</v>
      </c>
      <c r="M640" s="83">
        <v>41792</v>
      </c>
      <c r="N640" s="80">
        <v>6649966.6200000001</v>
      </c>
      <c r="O640" s="82"/>
      <c r="P640" s="84"/>
      <c r="Q640" s="80">
        <v>0</v>
      </c>
      <c r="R640" s="80">
        <v>6649966.6200000001</v>
      </c>
      <c r="S640" s="80">
        <v>102600.66</v>
      </c>
      <c r="T640" s="81"/>
      <c r="U640" s="80">
        <v>850252.6</v>
      </c>
      <c r="V640" s="80"/>
      <c r="W640" s="80"/>
      <c r="X640" s="80">
        <v>1694754.2</v>
      </c>
      <c r="Y640" s="76" t="s">
        <v>186</v>
      </c>
      <c r="Z640" s="19" t="s">
        <v>7038</v>
      </c>
      <c r="AA640" s="28" t="s">
        <v>7606</v>
      </c>
      <c r="AB640" s="56">
        <v>43412</v>
      </c>
      <c r="AC640" s="28" t="s">
        <v>7607</v>
      </c>
      <c r="AD640" s="28" t="s">
        <v>7608</v>
      </c>
      <c r="AE640" s="54" t="s">
        <v>7620</v>
      </c>
      <c r="AF640" s="54"/>
      <c r="AG640" s="54" t="s">
        <v>7474</v>
      </c>
      <c r="AH640" s="53" t="s">
        <v>1591</v>
      </c>
      <c r="AI640" s="53" t="s">
        <v>2686</v>
      </c>
      <c r="AJ640" s="53" t="s">
        <v>1591</v>
      </c>
    </row>
    <row r="641" spans="1:36" s="3" customFormat="1" ht="36" x14ac:dyDescent="0.25">
      <c r="A641" s="17" t="s">
        <v>995</v>
      </c>
      <c r="B641" s="18" t="s">
        <v>37</v>
      </c>
      <c r="C641" s="76" t="s">
        <v>4755</v>
      </c>
      <c r="D641" s="45" t="s">
        <v>4756</v>
      </c>
      <c r="E641" s="78" t="s">
        <v>4757</v>
      </c>
      <c r="F641" s="79" t="s">
        <v>4713</v>
      </c>
      <c r="G641" s="80">
        <v>6205644.5099999998</v>
      </c>
      <c r="H641" s="80"/>
      <c r="I641" s="78"/>
      <c r="J641" s="79" t="s">
        <v>4753</v>
      </c>
      <c r="K641" s="81" t="s">
        <v>1001</v>
      </c>
      <c r="L641" s="82">
        <v>42018</v>
      </c>
      <c r="M641" s="83" t="s">
        <v>4758</v>
      </c>
      <c r="N641" s="80">
        <v>6205644.5099999998</v>
      </c>
      <c r="O641" s="82"/>
      <c r="P641" s="84"/>
      <c r="Q641" s="80">
        <v>0</v>
      </c>
      <c r="R641" s="80">
        <v>6205644.5099999998</v>
      </c>
      <c r="S641" s="80"/>
      <c r="T641" s="81"/>
      <c r="U641" s="80">
        <v>317921.71999999997</v>
      </c>
      <c r="V641" s="80"/>
      <c r="W641" s="80"/>
      <c r="X641" s="80">
        <v>1308642.92</v>
      </c>
      <c r="Y641" s="76" t="s">
        <v>4759</v>
      </c>
      <c r="Z641" s="19" t="s">
        <v>7038</v>
      </c>
      <c r="AA641" s="28" t="s">
        <v>7606</v>
      </c>
      <c r="AB641" s="56">
        <v>43412</v>
      </c>
      <c r="AC641" s="28" t="s">
        <v>7607</v>
      </c>
      <c r="AD641" s="28" t="s">
        <v>7608</v>
      </c>
      <c r="AE641" s="54" t="s">
        <v>7617</v>
      </c>
      <c r="AF641" s="54"/>
      <c r="AG641" s="54" t="s">
        <v>6333</v>
      </c>
      <c r="AH641" s="53" t="s">
        <v>1591</v>
      </c>
      <c r="AI641" s="53" t="s">
        <v>2686</v>
      </c>
      <c r="AJ641" s="53" t="s">
        <v>1591</v>
      </c>
    </row>
    <row r="642" spans="1:36" s="3" customFormat="1" ht="72" x14ac:dyDescent="0.25">
      <c r="A642" s="17" t="s">
        <v>995</v>
      </c>
      <c r="B642" s="18" t="s">
        <v>37</v>
      </c>
      <c r="C642" s="76" t="s">
        <v>4760</v>
      </c>
      <c r="D642" s="45" t="s">
        <v>4761</v>
      </c>
      <c r="E642" s="78" t="s">
        <v>4762</v>
      </c>
      <c r="F642" s="79" t="s">
        <v>4763</v>
      </c>
      <c r="G642" s="80">
        <v>975000</v>
      </c>
      <c r="H642" s="80">
        <v>1906078.24</v>
      </c>
      <c r="I642" s="78"/>
      <c r="J642" s="79" t="s">
        <v>4764</v>
      </c>
      <c r="K642" s="81" t="s">
        <v>961</v>
      </c>
      <c r="L642" s="82"/>
      <c r="M642" s="83"/>
      <c r="N642" s="80">
        <v>2881078.24</v>
      </c>
      <c r="O642" s="82"/>
      <c r="P642" s="84"/>
      <c r="Q642" s="80">
        <v>783311.35000000009</v>
      </c>
      <c r="R642" s="80">
        <v>3664389.5900000003</v>
      </c>
      <c r="S642" s="80"/>
      <c r="T642" s="81"/>
      <c r="U642" s="80"/>
      <c r="V642" s="80"/>
      <c r="W642" s="80"/>
      <c r="X642" s="80">
        <v>2957028.92</v>
      </c>
      <c r="Y642" s="76" t="s">
        <v>997</v>
      </c>
      <c r="Z642" s="19" t="s">
        <v>7038</v>
      </c>
      <c r="AA642" s="28" t="s">
        <v>7606</v>
      </c>
      <c r="AB642" s="56">
        <v>43412</v>
      </c>
      <c r="AC642" s="28" t="s">
        <v>7607</v>
      </c>
      <c r="AD642" s="28" t="s">
        <v>7608</v>
      </c>
      <c r="AE642" s="54" t="s">
        <v>7620</v>
      </c>
      <c r="AF642" s="54"/>
      <c r="AG642" s="54" t="s">
        <v>7621</v>
      </c>
      <c r="AH642" s="53" t="s">
        <v>1591</v>
      </c>
      <c r="AI642" s="53" t="s">
        <v>2686</v>
      </c>
      <c r="AJ642" s="53" t="s">
        <v>1591</v>
      </c>
    </row>
    <row r="643" spans="1:36" s="3" customFormat="1" ht="60" x14ac:dyDescent="0.25">
      <c r="A643" s="17" t="s">
        <v>995</v>
      </c>
      <c r="B643" s="18" t="s">
        <v>37</v>
      </c>
      <c r="C643" s="76" t="s">
        <v>4765</v>
      </c>
      <c r="D643" s="45" t="s">
        <v>4766</v>
      </c>
      <c r="E643" s="78"/>
      <c r="F643" s="79" t="s">
        <v>4767</v>
      </c>
      <c r="G643" s="80">
        <v>3127590.79</v>
      </c>
      <c r="H643" s="80"/>
      <c r="I643" s="78"/>
      <c r="J643" s="79" t="s">
        <v>4768</v>
      </c>
      <c r="K643" s="81" t="s">
        <v>126</v>
      </c>
      <c r="L643" s="82"/>
      <c r="M643" s="83"/>
      <c r="N643" s="80">
        <v>3127590.79</v>
      </c>
      <c r="O643" s="82"/>
      <c r="P643" s="84"/>
      <c r="Q643" s="80">
        <v>0</v>
      </c>
      <c r="R643" s="80">
        <v>3127590.79</v>
      </c>
      <c r="S643" s="80"/>
      <c r="T643" s="81"/>
      <c r="U643" s="80"/>
      <c r="V643" s="80"/>
      <c r="W643" s="80"/>
      <c r="X643" s="80">
        <v>1915541.81</v>
      </c>
      <c r="Y643" s="76" t="s">
        <v>997</v>
      </c>
      <c r="Z643" s="19" t="s">
        <v>7038</v>
      </c>
      <c r="AA643" s="28" t="s">
        <v>7606</v>
      </c>
      <c r="AB643" s="56">
        <v>43412</v>
      </c>
      <c r="AC643" s="28" t="s">
        <v>7607</v>
      </c>
      <c r="AD643" s="28" t="s">
        <v>7608</v>
      </c>
      <c r="AE643" s="54" t="s">
        <v>7618</v>
      </c>
      <c r="AF643" s="54"/>
      <c r="AG643" s="54" t="s">
        <v>7622</v>
      </c>
      <c r="AH643" s="53" t="s">
        <v>1591</v>
      </c>
      <c r="AI643" s="53" t="s">
        <v>2686</v>
      </c>
      <c r="AJ643" s="53" t="s">
        <v>1591</v>
      </c>
    </row>
    <row r="644" spans="1:36" s="3" customFormat="1" ht="72" x14ac:dyDescent="0.25">
      <c r="A644" s="17" t="s">
        <v>995</v>
      </c>
      <c r="B644" s="18" t="s">
        <v>37</v>
      </c>
      <c r="C644" s="76" t="s">
        <v>4769</v>
      </c>
      <c r="D644" s="45" t="s">
        <v>4770</v>
      </c>
      <c r="E644" s="78" t="s">
        <v>4771</v>
      </c>
      <c r="F644" s="79" t="s">
        <v>4713</v>
      </c>
      <c r="G644" s="80">
        <v>2009232.33</v>
      </c>
      <c r="H644" s="80">
        <v>668754.9</v>
      </c>
      <c r="I644" s="78"/>
      <c r="J644" s="79" t="s">
        <v>4772</v>
      </c>
      <c r="K644" s="81" t="s">
        <v>4773</v>
      </c>
      <c r="L644" s="82">
        <v>40983</v>
      </c>
      <c r="M644" s="83" t="s">
        <v>4774</v>
      </c>
      <c r="N644" s="80">
        <v>2677987.23</v>
      </c>
      <c r="O644" s="82"/>
      <c r="P644" s="84"/>
      <c r="Q644" s="80">
        <v>0</v>
      </c>
      <c r="R644" s="80">
        <v>2677987.23</v>
      </c>
      <c r="S644" s="80">
        <v>209193.65</v>
      </c>
      <c r="T644" s="81"/>
      <c r="U644" s="80"/>
      <c r="V644" s="80"/>
      <c r="W644" s="80"/>
      <c r="X644" s="80">
        <v>1288203.3899999999</v>
      </c>
      <c r="Y644" s="76" t="s">
        <v>4775</v>
      </c>
      <c r="Z644" s="19" t="s">
        <v>7038</v>
      </c>
      <c r="AA644" s="28" t="s">
        <v>7606</v>
      </c>
      <c r="AB644" s="56">
        <v>43412</v>
      </c>
      <c r="AC644" s="28" t="s">
        <v>7607</v>
      </c>
      <c r="AD644" s="28" t="s">
        <v>7608</v>
      </c>
      <c r="AE644" s="54" t="s">
        <v>7623</v>
      </c>
      <c r="AF644" s="54"/>
      <c r="AG644" s="54" t="s">
        <v>7624</v>
      </c>
      <c r="AH644" s="53" t="s">
        <v>1591</v>
      </c>
      <c r="AI644" s="53" t="s">
        <v>2686</v>
      </c>
      <c r="AJ644" s="53" t="s">
        <v>1591</v>
      </c>
    </row>
    <row r="645" spans="1:36" s="3" customFormat="1" ht="60" x14ac:dyDescent="0.25">
      <c r="A645" s="17" t="s">
        <v>995</v>
      </c>
      <c r="B645" s="18" t="s">
        <v>37</v>
      </c>
      <c r="C645" s="76" t="s">
        <v>4776</v>
      </c>
      <c r="D645" s="45" t="s">
        <v>4777</v>
      </c>
      <c r="E645" s="78" t="s">
        <v>4778</v>
      </c>
      <c r="F645" s="79" t="s">
        <v>4763</v>
      </c>
      <c r="G645" s="80">
        <v>1365000</v>
      </c>
      <c r="H645" s="80">
        <v>72728.78</v>
      </c>
      <c r="I645" s="78"/>
      <c r="J645" s="79" t="s">
        <v>4726</v>
      </c>
      <c r="K645" s="81" t="s">
        <v>4779</v>
      </c>
      <c r="L645" s="82"/>
      <c r="M645" s="83"/>
      <c r="N645" s="80">
        <v>1706165.62</v>
      </c>
      <c r="O645" s="82"/>
      <c r="P645" s="84"/>
      <c r="Q645" s="80">
        <v>252.46677999990061</v>
      </c>
      <c r="R645" s="80">
        <v>1706418.08678</v>
      </c>
      <c r="S645" s="80"/>
      <c r="T645" s="81"/>
      <c r="U645" s="80"/>
      <c r="V645" s="80"/>
      <c r="W645" s="80"/>
      <c r="X645" s="80">
        <v>775953.67</v>
      </c>
      <c r="Y645" s="76" t="s">
        <v>997</v>
      </c>
      <c r="Z645" s="19" t="s">
        <v>7038</v>
      </c>
      <c r="AA645" s="28" t="s">
        <v>7606</v>
      </c>
      <c r="AB645" s="56">
        <v>43412</v>
      </c>
      <c r="AC645" s="28" t="s">
        <v>7607</v>
      </c>
      <c r="AD645" s="28" t="s">
        <v>7608</v>
      </c>
      <c r="AE645" s="54" t="s">
        <v>7625</v>
      </c>
      <c r="AF645" s="54"/>
      <c r="AG645" s="54" t="s">
        <v>7626</v>
      </c>
      <c r="AH645" s="53" t="s">
        <v>1591</v>
      </c>
      <c r="AI645" s="53" t="s">
        <v>2686</v>
      </c>
      <c r="AJ645" s="53" t="s">
        <v>1591</v>
      </c>
    </row>
    <row r="646" spans="1:36" s="3" customFormat="1" ht="60" x14ac:dyDescent="0.25">
      <c r="A646" s="17" t="s">
        <v>995</v>
      </c>
      <c r="B646" s="18" t="s">
        <v>37</v>
      </c>
      <c r="C646" s="76" t="s">
        <v>4780</v>
      </c>
      <c r="D646" s="45" t="s">
        <v>4781</v>
      </c>
      <c r="E646" s="78"/>
      <c r="F646" s="79"/>
      <c r="G646" s="80"/>
      <c r="H646" s="80"/>
      <c r="I646" s="78"/>
      <c r="J646" s="79" t="s">
        <v>4782</v>
      </c>
      <c r="K646" s="81" t="s">
        <v>4496</v>
      </c>
      <c r="L646" s="82"/>
      <c r="M646" s="83"/>
      <c r="N646" s="80">
        <v>1292178.8500000001</v>
      </c>
      <c r="O646" s="82"/>
      <c r="P646" s="84"/>
      <c r="Q646" s="80">
        <v>211796.53000000003</v>
      </c>
      <c r="R646" s="80">
        <v>1503975.3800000001</v>
      </c>
      <c r="S646" s="80"/>
      <c r="T646" s="81"/>
      <c r="U646" s="80"/>
      <c r="V646" s="80"/>
      <c r="W646" s="80"/>
      <c r="X646" s="80">
        <v>1179971.31</v>
      </c>
      <c r="Y646" s="76" t="s">
        <v>142</v>
      </c>
      <c r="Z646" s="19" t="s">
        <v>7038</v>
      </c>
      <c r="AA646" s="28" t="s">
        <v>7606</v>
      </c>
      <c r="AB646" s="56">
        <v>43412</v>
      </c>
      <c r="AC646" s="28" t="s">
        <v>7607</v>
      </c>
      <c r="AD646" s="28" t="s">
        <v>7608</v>
      </c>
      <c r="AE646" s="54" t="s">
        <v>7618</v>
      </c>
      <c r="AF646" s="54"/>
      <c r="AG646" s="54" t="s">
        <v>7622</v>
      </c>
      <c r="AH646" s="53" t="s">
        <v>1591</v>
      </c>
      <c r="AI646" s="53" t="s">
        <v>2686</v>
      </c>
      <c r="AJ646" s="53" t="s">
        <v>1591</v>
      </c>
    </row>
    <row r="647" spans="1:36" s="3" customFormat="1" ht="60" x14ac:dyDescent="0.25">
      <c r="A647" s="17" t="s">
        <v>995</v>
      </c>
      <c r="B647" s="18" t="s">
        <v>37</v>
      </c>
      <c r="C647" s="76" t="s">
        <v>4783</v>
      </c>
      <c r="D647" s="45" t="s">
        <v>4784</v>
      </c>
      <c r="E647" s="78"/>
      <c r="F647" s="79" t="s">
        <v>4767</v>
      </c>
      <c r="G647" s="80">
        <v>1281350.2</v>
      </c>
      <c r="H647" s="80"/>
      <c r="I647" s="78"/>
      <c r="J647" s="79" t="s">
        <v>4785</v>
      </c>
      <c r="K647" s="81" t="s">
        <v>4786</v>
      </c>
      <c r="L647" s="82"/>
      <c r="M647" s="83"/>
      <c r="N647" s="80">
        <v>1281350.2</v>
      </c>
      <c r="O647" s="82"/>
      <c r="P647" s="84"/>
      <c r="Q647" s="80">
        <v>0</v>
      </c>
      <c r="R647" s="80">
        <v>1281350.2</v>
      </c>
      <c r="S647" s="80"/>
      <c r="T647" s="81"/>
      <c r="U647" s="80"/>
      <c r="V647" s="80"/>
      <c r="W647" s="80"/>
      <c r="X647" s="80">
        <v>768795</v>
      </c>
      <c r="Y647" s="76" t="s">
        <v>997</v>
      </c>
      <c r="Z647" s="19" t="s">
        <v>7038</v>
      </c>
      <c r="AA647" s="28" t="s">
        <v>7606</v>
      </c>
      <c r="AB647" s="56">
        <v>43412</v>
      </c>
      <c r="AC647" s="28" t="s">
        <v>7607</v>
      </c>
      <c r="AD647" s="28" t="s">
        <v>7608</v>
      </c>
      <c r="AE647" s="54" t="s">
        <v>7618</v>
      </c>
      <c r="AF647" s="54"/>
      <c r="AG647" s="54" t="s">
        <v>7627</v>
      </c>
      <c r="AH647" s="53" t="s">
        <v>1591</v>
      </c>
      <c r="AI647" s="53" t="s">
        <v>2686</v>
      </c>
      <c r="AJ647" s="53" t="s">
        <v>1591</v>
      </c>
    </row>
    <row r="648" spans="1:36" s="3" customFormat="1" ht="48" x14ac:dyDescent="0.25">
      <c r="A648" s="17" t="s">
        <v>995</v>
      </c>
      <c r="B648" s="18" t="s">
        <v>37</v>
      </c>
      <c r="C648" s="76" t="s">
        <v>4787</v>
      </c>
      <c r="D648" s="45" t="s">
        <v>4788</v>
      </c>
      <c r="E648" s="78" t="s">
        <v>4719</v>
      </c>
      <c r="F648" s="79" t="s">
        <v>4720</v>
      </c>
      <c r="G648" s="80">
        <v>351220.69</v>
      </c>
      <c r="H648" s="80">
        <v>31297.31</v>
      </c>
      <c r="I648" s="78"/>
      <c r="J648" s="79" t="s">
        <v>4789</v>
      </c>
      <c r="K648" s="81" t="s">
        <v>4790</v>
      </c>
      <c r="L648" s="82">
        <v>40791</v>
      </c>
      <c r="M648" s="83" t="s">
        <v>4791</v>
      </c>
      <c r="N648" s="80">
        <v>382518</v>
      </c>
      <c r="O648" s="82"/>
      <c r="P648" s="84"/>
      <c r="Q648" s="80">
        <v>0</v>
      </c>
      <c r="R648" s="80">
        <v>382518</v>
      </c>
      <c r="S648" s="80"/>
      <c r="T648" s="81"/>
      <c r="U648" s="80"/>
      <c r="V648" s="80"/>
      <c r="W648" s="80"/>
      <c r="X648" s="80">
        <v>153007.20000000001</v>
      </c>
      <c r="Y648" s="76" t="s">
        <v>186</v>
      </c>
      <c r="Z648" s="19" t="s">
        <v>7038</v>
      </c>
      <c r="AA648" s="28" t="s">
        <v>7606</v>
      </c>
      <c r="AB648" s="56">
        <v>43412</v>
      </c>
      <c r="AC648" s="28" t="s">
        <v>7607</v>
      </c>
      <c r="AD648" s="28" t="s">
        <v>7608</v>
      </c>
      <c r="AE648" s="54" t="s">
        <v>7628</v>
      </c>
      <c r="AF648" s="54"/>
      <c r="AG648" s="54" t="s">
        <v>7629</v>
      </c>
      <c r="AH648" s="53" t="s">
        <v>1591</v>
      </c>
      <c r="AI648" s="53" t="s">
        <v>2686</v>
      </c>
      <c r="AJ648" s="53" t="s">
        <v>1591</v>
      </c>
    </row>
    <row r="649" spans="1:36" s="3" customFormat="1" ht="96" x14ac:dyDescent="0.25">
      <c r="A649" s="17" t="s">
        <v>995</v>
      </c>
      <c r="B649" s="18" t="s">
        <v>37</v>
      </c>
      <c r="C649" s="76" t="s">
        <v>4792</v>
      </c>
      <c r="D649" s="45" t="s">
        <v>4793</v>
      </c>
      <c r="E649" s="78"/>
      <c r="F649" s="79"/>
      <c r="G649" s="80"/>
      <c r="H649" s="80"/>
      <c r="I649" s="78"/>
      <c r="J649" s="79" t="s">
        <v>4794</v>
      </c>
      <c r="K649" s="81" t="s">
        <v>386</v>
      </c>
      <c r="L649" s="82"/>
      <c r="M649" s="83"/>
      <c r="N649" s="80"/>
      <c r="O649" s="82"/>
      <c r="P649" s="84"/>
      <c r="Q649" s="80">
        <v>0</v>
      </c>
      <c r="R649" s="80"/>
      <c r="S649" s="80"/>
      <c r="T649" s="81"/>
      <c r="U649" s="80"/>
      <c r="V649" s="80"/>
      <c r="W649" s="80"/>
      <c r="X649" s="80"/>
      <c r="Y649" s="76" t="s">
        <v>4521</v>
      </c>
      <c r="Z649" s="19" t="s">
        <v>7038</v>
      </c>
      <c r="AA649" s="28" t="s">
        <v>7606</v>
      </c>
      <c r="AB649" s="56">
        <v>43412</v>
      </c>
      <c r="AC649" s="28" t="s">
        <v>7607</v>
      </c>
      <c r="AD649" s="28" t="s">
        <v>7608</v>
      </c>
      <c r="AE649" s="54" t="s">
        <v>7630</v>
      </c>
      <c r="AF649" s="54"/>
      <c r="AG649" s="54" t="s">
        <v>7631</v>
      </c>
      <c r="AH649" s="53" t="s">
        <v>1591</v>
      </c>
      <c r="AI649" s="53" t="s">
        <v>2686</v>
      </c>
      <c r="AJ649" s="53" t="s">
        <v>1591</v>
      </c>
    </row>
    <row r="650" spans="1:36" s="3" customFormat="1" ht="96" x14ac:dyDescent="0.25">
      <c r="A650" s="17" t="s">
        <v>995</v>
      </c>
      <c r="B650" s="18" t="s">
        <v>37</v>
      </c>
      <c r="C650" s="76" t="s">
        <v>4795</v>
      </c>
      <c r="D650" s="45" t="s">
        <v>4796</v>
      </c>
      <c r="E650" s="78"/>
      <c r="F650" s="79"/>
      <c r="G650" s="80"/>
      <c r="H650" s="80"/>
      <c r="I650" s="78"/>
      <c r="J650" s="79" t="s">
        <v>4797</v>
      </c>
      <c r="K650" s="81"/>
      <c r="L650" s="82"/>
      <c r="M650" s="83"/>
      <c r="N650" s="80"/>
      <c r="O650" s="82"/>
      <c r="P650" s="84"/>
      <c r="Q650" s="80">
        <v>0</v>
      </c>
      <c r="R650" s="80"/>
      <c r="S650" s="80"/>
      <c r="T650" s="81"/>
      <c r="U650" s="80"/>
      <c r="V650" s="80"/>
      <c r="W650" s="80"/>
      <c r="X650" s="80"/>
      <c r="Y650" s="76" t="s">
        <v>4521</v>
      </c>
      <c r="Z650" s="19" t="s">
        <v>7038</v>
      </c>
      <c r="AA650" s="28" t="s">
        <v>7606</v>
      </c>
      <c r="AB650" s="56">
        <v>43412</v>
      </c>
      <c r="AC650" s="28" t="s">
        <v>7607</v>
      </c>
      <c r="AD650" s="28" t="s">
        <v>7608</v>
      </c>
      <c r="AE650" s="54" t="s">
        <v>7632</v>
      </c>
      <c r="AF650" s="54"/>
      <c r="AG650" s="54" t="s">
        <v>7633</v>
      </c>
      <c r="AH650" s="53" t="s">
        <v>1591</v>
      </c>
      <c r="AI650" s="53" t="s">
        <v>2686</v>
      </c>
      <c r="AJ650" s="53" t="s">
        <v>1591</v>
      </c>
    </row>
    <row r="651" spans="1:36" s="3" customFormat="1" ht="36" x14ac:dyDescent="0.25">
      <c r="A651" s="35" t="s">
        <v>1002</v>
      </c>
      <c r="B651" s="18" t="s">
        <v>37</v>
      </c>
      <c r="C651" s="19" t="s">
        <v>1008</v>
      </c>
      <c r="D651" s="45" t="s">
        <v>1009</v>
      </c>
      <c r="E651" s="50" t="s">
        <v>1006</v>
      </c>
      <c r="F651" s="58" t="s">
        <v>815</v>
      </c>
      <c r="G651" s="51">
        <v>1021785.24</v>
      </c>
      <c r="H651" s="51"/>
      <c r="I651" s="50" t="s">
        <v>1010</v>
      </c>
      <c r="J651" s="58" t="s">
        <v>1011</v>
      </c>
      <c r="K651" s="52" t="s">
        <v>1012</v>
      </c>
      <c r="L651" s="59">
        <v>41796</v>
      </c>
      <c r="M651" s="60">
        <f>L651+210</f>
        <v>42006</v>
      </c>
      <c r="N651" s="51">
        <v>1019852.06</v>
      </c>
      <c r="O651" s="59">
        <v>42156</v>
      </c>
      <c r="P651" s="59">
        <f>M651+1260</f>
        <v>43266</v>
      </c>
      <c r="Q651" s="51">
        <v>13232.15</v>
      </c>
      <c r="R651" s="51">
        <f>N651+Q651</f>
        <v>1033084.2100000001</v>
      </c>
      <c r="S651" s="51" t="s">
        <v>46</v>
      </c>
      <c r="T651" s="52">
        <v>449051</v>
      </c>
      <c r="U651" s="51">
        <v>922046.97</v>
      </c>
      <c r="V651" s="51">
        <v>30118.720000000001</v>
      </c>
      <c r="W651" s="51">
        <v>73900.88</v>
      </c>
      <c r="X651" s="51">
        <v>922046.97</v>
      </c>
      <c r="Y651" s="19" t="s">
        <v>330</v>
      </c>
      <c r="Z651" s="19"/>
      <c r="AA651" s="28"/>
      <c r="AB651" s="56"/>
      <c r="AC651" s="28"/>
      <c r="AD651" s="28"/>
      <c r="AE651" s="54"/>
      <c r="AF651" s="54"/>
      <c r="AG651" s="54"/>
      <c r="AH651" s="53"/>
      <c r="AI651" s="53" t="s">
        <v>1591</v>
      </c>
      <c r="AJ651" s="53" t="s">
        <v>1591</v>
      </c>
    </row>
    <row r="652" spans="1:36" s="3" customFormat="1" ht="36" x14ac:dyDescent="0.25">
      <c r="A652" s="35" t="s">
        <v>1002</v>
      </c>
      <c r="B652" s="18" t="s">
        <v>37</v>
      </c>
      <c r="C652" s="19" t="s">
        <v>158</v>
      </c>
      <c r="D652" s="45" t="s">
        <v>1017</v>
      </c>
      <c r="E652" s="50" t="s">
        <v>1006</v>
      </c>
      <c r="F652" s="58" t="s">
        <v>815</v>
      </c>
      <c r="G652" s="51">
        <v>1003346.36</v>
      </c>
      <c r="H652" s="51" t="s">
        <v>46</v>
      </c>
      <c r="I652" s="50" t="s">
        <v>1018</v>
      </c>
      <c r="J652" s="58" t="s">
        <v>1019</v>
      </c>
      <c r="K652" s="52" t="s">
        <v>345</v>
      </c>
      <c r="L652" s="59">
        <v>42677</v>
      </c>
      <c r="M652" s="60">
        <f>L652+270</f>
        <v>42947</v>
      </c>
      <c r="N652" s="51">
        <v>832496.33</v>
      </c>
      <c r="O652" s="59">
        <v>42686</v>
      </c>
      <c r="P652" s="59">
        <f>M652+540</f>
        <v>43487</v>
      </c>
      <c r="Q652" s="51">
        <v>56946.79</v>
      </c>
      <c r="R652" s="51">
        <f>N652+Q652</f>
        <v>889443.12</v>
      </c>
      <c r="S652" s="51"/>
      <c r="T652" s="52">
        <v>449051</v>
      </c>
      <c r="U652" s="51">
        <v>182183.27</v>
      </c>
      <c r="V652" s="51">
        <v>40666.68</v>
      </c>
      <c r="W652" s="51">
        <v>121819.84</v>
      </c>
      <c r="X652" s="51">
        <v>182183.27</v>
      </c>
      <c r="Y652" s="19" t="s">
        <v>186</v>
      </c>
      <c r="Z652" s="19"/>
      <c r="AA652" s="28"/>
      <c r="AB652" s="56"/>
      <c r="AC652" s="28"/>
      <c r="AD652" s="28"/>
      <c r="AE652" s="54"/>
      <c r="AF652" s="54"/>
      <c r="AG652" s="54"/>
      <c r="AH652" s="53"/>
      <c r="AI652" s="53" t="s">
        <v>1591</v>
      </c>
      <c r="AJ652" s="53" t="s">
        <v>1591</v>
      </c>
    </row>
    <row r="653" spans="1:36" s="3" customFormat="1" ht="36" x14ac:dyDescent="0.25">
      <c r="A653" s="35" t="s">
        <v>1002</v>
      </c>
      <c r="B653" s="18" t="s">
        <v>37</v>
      </c>
      <c r="C653" s="19" t="s">
        <v>1985</v>
      </c>
      <c r="D653" s="45" t="s">
        <v>1023</v>
      </c>
      <c r="E653" s="50" t="s">
        <v>1024</v>
      </c>
      <c r="F653" s="58" t="s">
        <v>1022</v>
      </c>
      <c r="G653" s="51">
        <v>625385.53</v>
      </c>
      <c r="H653" s="51">
        <v>28315.49</v>
      </c>
      <c r="I653" s="50" t="s">
        <v>1015</v>
      </c>
      <c r="J653" s="58" t="s">
        <v>3734</v>
      </c>
      <c r="K653" s="52" t="s">
        <v>854</v>
      </c>
      <c r="L653" s="59">
        <v>42555</v>
      </c>
      <c r="M653" s="60">
        <f>L653+120</f>
        <v>42675</v>
      </c>
      <c r="N653" s="51">
        <v>653701.02</v>
      </c>
      <c r="O653" s="59">
        <v>42557</v>
      </c>
      <c r="P653" s="59">
        <f>M653+720</f>
        <v>43395</v>
      </c>
      <c r="Q653" s="51">
        <v>13408.67</v>
      </c>
      <c r="R653" s="51">
        <f>N653+Q653</f>
        <v>667109.69000000006</v>
      </c>
      <c r="S653" s="51" t="s">
        <v>46</v>
      </c>
      <c r="T653" s="52">
        <v>449051</v>
      </c>
      <c r="U653" s="51">
        <v>261396.36</v>
      </c>
      <c r="V653" s="51" t="s">
        <v>46</v>
      </c>
      <c r="W653" s="51">
        <v>32776.949999999997</v>
      </c>
      <c r="X653" s="51">
        <v>261396.36</v>
      </c>
      <c r="Y653" s="19" t="s">
        <v>330</v>
      </c>
      <c r="Z653" s="19"/>
      <c r="AA653" s="28"/>
      <c r="AB653" s="56"/>
      <c r="AC653" s="28"/>
      <c r="AD653" s="28"/>
      <c r="AE653" s="54"/>
      <c r="AF653" s="54"/>
      <c r="AG653" s="54"/>
      <c r="AH653" s="53"/>
      <c r="AI653" s="53" t="s">
        <v>1591</v>
      </c>
      <c r="AJ653" s="53" t="s">
        <v>1591</v>
      </c>
    </row>
    <row r="654" spans="1:36" s="3" customFormat="1" ht="36" x14ac:dyDescent="0.25">
      <c r="A654" s="35" t="s">
        <v>1002</v>
      </c>
      <c r="B654" s="18" t="s">
        <v>37</v>
      </c>
      <c r="C654" s="19" t="s">
        <v>1978</v>
      </c>
      <c r="D654" s="45" t="s">
        <v>2760</v>
      </c>
      <c r="E654" s="50" t="s">
        <v>1006</v>
      </c>
      <c r="F654" s="58" t="s">
        <v>815</v>
      </c>
      <c r="G654" s="51">
        <v>509316.36</v>
      </c>
      <c r="H654" s="51" t="s">
        <v>46</v>
      </c>
      <c r="I654" s="50" t="s">
        <v>930</v>
      </c>
      <c r="J654" s="58" t="s">
        <v>2761</v>
      </c>
      <c r="K654" s="52" t="s">
        <v>1418</v>
      </c>
      <c r="L654" s="59">
        <v>41949</v>
      </c>
      <c r="M654" s="60">
        <f>L654+120</f>
        <v>42069</v>
      </c>
      <c r="N654" s="51">
        <v>508316.8</v>
      </c>
      <c r="O654" s="59">
        <v>41953</v>
      </c>
      <c r="P654" s="59">
        <f>M654+720</f>
        <v>42789</v>
      </c>
      <c r="Q654" s="51">
        <v>7222.5</v>
      </c>
      <c r="R654" s="51">
        <f>N654+Q654</f>
        <v>515539.3</v>
      </c>
      <c r="S654" s="51" t="s">
        <v>46</v>
      </c>
      <c r="T654" s="52">
        <v>449051</v>
      </c>
      <c r="U654" s="51">
        <v>166785.57999999999</v>
      </c>
      <c r="V654" s="51" t="s">
        <v>46</v>
      </c>
      <c r="W654" s="51">
        <v>7222.5</v>
      </c>
      <c r="X654" s="51">
        <v>166785.57999999999</v>
      </c>
      <c r="Y654" s="19" t="s">
        <v>330</v>
      </c>
      <c r="Z654" s="19"/>
      <c r="AA654" s="28"/>
      <c r="AB654" s="56"/>
      <c r="AC654" s="28"/>
      <c r="AD654" s="28"/>
      <c r="AE654" s="54"/>
      <c r="AF654" s="54"/>
      <c r="AG654" s="54"/>
      <c r="AH654" s="53"/>
      <c r="AI654" s="53" t="s">
        <v>1591</v>
      </c>
      <c r="AJ654" s="53" t="s">
        <v>1591</v>
      </c>
    </row>
    <row r="655" spans="1:36" s="3" customFormat="1" ht="36" x14ac:dyDescent="0.25">
      <c r="A655" s="35" t="s">
        <v>1002</v>
      </c>
      <c r="B655" s="18" t="s">
        <v>37</v>
      </c>
      <c r="C655" s="19" t="s">
        <v>1257</v>
      </c>
      <c r="D655" s="45" t="s">
        <v>2762</v>
      </c>
      <c r="E655" s="50" t="s">
        <v>1006</v>
      </c>
      <c r="F655" s="58" t="s">
        <v>815</v>
      </c>
      <c r="G655" s="51">
        <v>509316.36</v>
      </c>
      <c r="H655" s="51" t="s">
        <v>46</v>
      </c>
      <c r="I655" s="50" t="s">
        <v>143</v>
      </c>
      <c r="J655" s="58" t="s">
        <v>2763</v>
      </c>
      <c r="K655" s="52" t="s">
        <v>155</v>
      </c>
      <c r="L655" s="59">
        <v>41803</v>
      </c>
      <c r="M655" s="60">
        <f>L655+210</f>
        <v>42013</v>
      </c>
      <c r="N655" s="51">
        <v>508304.92</v>
      </c>
      <c r="O655" s="59" t="s">
        <v>3907</v>
      </c>
      <c r="P655" s="59">
        <f>M655+840</f>
        <v>42853</v>
      </c>
      <c r="Q655" s="51"/>
      <c r="R655" s="51">
        <f>N655+Q655</f>
        <v>508304.92</v>
      </c>
      <c r="S655" s="51" t="s">
        <v>46</v>
      </c>
      <c r="T655" s="52">
        <v>449051</v>
      </c>
      <c r="U655" s="51">
        <v>328336.87</v>
      </c>
      <c r="V655" s="51" t="s">
        <v>46</v>
      </c>
      <c r="W655" s="51">
        <v>34298.18</v>
      </c>
      <c r="X655" s="51">
        <v>328336.87</v>
      </c>
      <c r="Y655" s="19" t="s">
        <v>330</v>
      </c>
      <c r="Z655" s="19"/>
      <c r="AA655" s="28"/>
      <c r="AB655" s="56"/>
      <c r="AC655" s="28"/>
      <c r="AD655" s="28"/>
      <c r="AE655" s="54"/>
      <c r="AF655" s="54"/>
      <c r="AG655" s="54"/>
      <c r="AH655" s="53"/>
      <c r="AI655" s="53" t="s">
        <v>1591</v>
      </c>
      <c r="AJ655" s="53" t="s">
        <v>1591</v>
      </c>
    </row>
    <row r="656" spans="1:36" s="3" customFormat="1" ht="36" x14ac:dyDescent="0.25">
      <c r="A656" s="35" t="s">
        <v>2759</v>
      </c>
      <c r="B656" s="18" t="s">
        <v>37</v>
      </c>
      <c r="C656" s="76"/>
      <c r="D656" s="43" t="s">
        <v>4803</v>
      </c>
      <c r="E656" s="78"/>
      <c r="F656" s="36" t="s">
        <v>4798</v>
      </c>
      <c r="G656" s="80"/>
      <c r="H656" s="80"/>
      <c r="I656" s="36" t="s">
        <v>900</v>
      </c>
      <c r="J656" s="34" t="s">
        <v>2764</v>
      </c>
      <c r="K656" s="37" t="s">
        <v>782</v>
      </c>
      <c r="L656" s="38">
        <v>41795</v>
      </c>
      <c r="M656" s="39">
        <v>41915</v>
      </c>
      <c r="N656" s="42">
        <v>173644.62</v>
      </c>
      <c r="O656" s="85">
        <v>41852</v>
      </c>
      <c r="P656" s="86">
        <v>42215</v>
      </c>
      <c r="Q656" s="41">
        <v>42629.07</v>
      </c>
      <c r="R656" s="41">
        <v>216273.69</v>
      </c>
      <c r="S656" s="80"/>
      <c r="T656" s="81"/>
      <c r="U656" s="80"/>
      <c r="V656" s="80"/>
      <c r="W656" s="42"/>
      <c r="X656" s="42">
        <v>183320.6</v>
      </c>
      <c r="Y656" s="34" t="s">
        <v>4321</v>
      </c>
      <c r="Z656" s="19" t="s">
        <v>7038</v>
      </c>
      <c r="AA656" s="28"/>
      <c r="AB656" s="56"/>
      <c r="AC656" s="28"/>
      <c r="AD656" s="28"/>
      <c r="AE656" s="54"/>
      <c r="AF656" s="54"/>
      <c r="AG656" s="54"/>
      <c r="AH656" s="53"/>
      <c r="AI656" s="53" t="s">
        <v>1591</v>
      </c>
      <c r="AJ656" s="53" t="s">
        <v>1591</v>
      </c>
    </row>
    <row r="657" spans="1:36" s="3" customFormat="1" ht="36" x14ac:dyDescent="0.25">
      <c r="A657" s="17" t="s">
        <v>1002</v>
      </c>
      <c r="B657" s="18" t="s">
        <v>37</v>
      </c>
      <c r="C657" s="76" t="s">
        <v>1026</v>
      </c>
      <c r="D657" s="77" t="s">
        <v>4804</v>
      </c>
      <c r="E657" s="78" t="s">
        <v>1027</v>
      </c>
      <c r="F657" s="79" t="s">
        <v>1028</v>
      </c>
      <c r="G657" s="80">
        <v>206150.5</v>
      </c>
      <c r="H657" s="80">
        <v>9963.7000000000007</v>
      </c>
      <c r="I657" s="78" t="s">
        <v>1007</v>
      </c>
      <c r="J657" s="79" t="s">
        <v>1029</v>
      </c>
      <c r="K657" s="81" t="s">
        <v>799</v>
      </c>
      <c r="L657" s="82">
        <v>41079</v>
      </c>
      <c r="M657" s="83">
        <v>41199</v>
      </c>
      <c r="N657" s="80">
        <v>196400</v>
      </c>
      <c r="O657" s="82">
        <v>41195</v>
      </c>
      <c r="P657" s="84" t="s">
        <v>4805</v>
      </c>
      <c r="Q657" s="80">
        <v>0</v>
      </c>
      <c r="R657" s="80">
        <v>196400</v>
      </c>
      <c r="S657" s="80" t="s">
        <v>46</v>
      </c>
      <c r="T657" s="81" t="s">
        <v>211</v>
      </c>
      <c r="U657" s="80">
        <v>115256.29</v>
      </c>
      <c r="V657" s="80"/>
      <c r="W657" s="80"/>
      <c r="X657" s="80">
        <v>115256.29</v>
      </c>
      <c r="Y657" s="76" t="s">
        <v>330</v>
      </c>
      <c r="Z657" s="19" t="s">
        <v>7038</v>
      </c>
      <c r="AA657" s="28"/>
      <c r="AB657" s="56"/>
      <c r="AC657" s="28"/>
      <c r="AD657" s="28"/>
      <c r="AE657" s="54"/>
      <c r="AF657" s="54"/>
      <c r="AG657" s="54"/>
      <c r="AH657" s="53"/>
      <c r="AI657" s="53" t="s">
        <v>1591</v>
      </c>
      <c r="AJ657" s="53" t="s">
        <v>1591</v>
      </c>
    </row>
    <row r="658" spans="1:36" s="3" customFormat="1" ht="36" x14ac:dyDescent="0.25">
      <c r="A658" s="35" t="s">
        <v>2759</v>
      </c>
      <c r="B658" s="18" t="s">
        <v>37</v>
      </c>
      <c r="C658" s="76"/>
      <c r="D658" s="43" t="s">
        <v>4807</v>
      </c>
      <c r="E658" s="78"/>
      <c r="F658" s="36" t="s">
        <v>4798</v>
      </c>
      <c r="G658" s="80"/>
      <c r="H658" s="80"/>
      <c r="I658" s="36" t="s">
        <v>930</v>
      </c>
      <c r="J658" s="34" t="s">
        <v>2761</v>
      </c>
      <c r="K658" s="37" t="s">
        <v>2441</v>
      </c>
      <c r="L658" s="38">
        <v>41600</v>
      </c>
      <c r="M658" s="39">
        <v>41720</v>
      </c>
      <c r="N658" s="42">
        <v>164106.72</v>
      </c>
      <c r="O658" s="85">
        <v>41720</v>
      </c>
      <c r="P658" s="86">
        <v>41960</v>
      </c>
      <c r="Q658" s="41">
        <v>18730.87</v>
      </c>
      <c r="R658" s="41">
        <v>182837.59</v>
      </c>
      <c r="S658" s="80"/>
      <c r="T658" s="81"/>
      <c r="U658" s="80"/>
      <c r="V658" s="80"/>
      <c r="W658" s="42"/>
      <c r="X658" s="42">
        <v>182837.4</v>
      </c>
      <c r="Y658" s="34" t="s">
        <v>4321</v>
      </c>
      <c r="Z658" s="19" t="s">
        <v>7038</v>
      </c>
      <c r="AA658" s="28"/>
      <c r="AB658" s="56"/>
      <c r="AC658" s="28"/>
      <c r="AD658" s="28"/>
      <c r="AE658" s="54"/>
      <c r="AF658" s="54"/>
      <c r="AG658" s="54"/>
      <c r="AH658" s="53"/>
      <c r="AI658" s="53" t="s">
        <v>1591</v>
      </c>
      <c r="AJ658" s="53" t="s">
        <v>1591</v>
      </c>
    </row>
    <row r="659" spans="1:36" s="3" customFormat="1" ht="36" x14ac:dyDescent="0.25">
      <c r="A659" s="17" t="s">
        <v>1031</v>
      </c>
      <c r="B659" s="18" t="s">
        <v>37</v>
      </c>
      <c r="C659" s="76" t="s">
        <v>4808</v>
      </c>
      <c r="D659" s="45" t="s">
        <v>4809</v>
      </c>
      <c r="E659" s="78"/>
      <c r="F659" s="79" t="s">
        <v>1037</v>
      </c>
      <c r="G659" s="80">
        <v>220000</v>
      </c>
      <c r="H659" s="80">
        <v>15646.78</v>
      </c>
      <c r="I659" s="78" t="s">
        <v>315</v>
      </c>
      <c r="J659" s="79" t="s">
        <v>4810</v>
      </c>
      <c r="K659" s="81" t="s">
        <v>4811</v>
      </c>
      <c r="L659" s="82">
        <v>42158</v>
      </c>
      <c r="M659" s="83">
        <v>42278</v>
      </c>
      <c r="N659" s="80">
        <v>235646.78</v>
      </c>
      <c r="O659" s="82">
        <v>42280</v>
      </c>
      <c r="P659" s="84"/>
      <c r="Q659" s="80">
        <v>0</v>
      </c>
      <c r="R659" s="80">
        <v>235646.78</v>
      </c>
      <c r="S659" s="80" t="s">
        <v>46</v>
      </c>
      <c r="T659" s="81" t="s">
        <v>907</v>
      </c>
      <c r="U659" s="80">
        <v>6805.72</v>
      </c>
      <c r="V659" s="80"/>
      <c r="W659" s="80"/>
      <c r="X659" s="80">
        <v>35731.120000000003</v>
      </c>
      <c r="Y659" s="76" t="s">
        <v>41</v>
      </c>
      <c r="Z659" s="19" t="s">
        <v>7038</v>
      </c>
      <c r="AA659" s="28"/>
      <c r="AB659" s="56"/>
      <c r="AC659" s="28"/>
      <c r="AD659" s="28"/>
      <c r="AE659" s="54"/>
      <c r="AF659" s="54"/>
      <c r="AG659" s="54"/>
      <c r="AH659" s="53"/>
      <c r="AI659" s="53" t="s">
        <v>1591</v>
      </c>
      <c r="AJ659" s="53" t="s">
        <v>1591</v>
      </c>
    </row>
    <row r="660" spans="1:36" s="3" customFormat="1" ht="24" x14ac:dyDescent="0.25">
      <c r="A660" s="35" t="s">
        <v>1031</v>
      </c>
      <c r="B660" s="18" t="s">
        <v>37</v>
      </c>
      <c r="C660" s="19"/>
      <c r="D660" s="45" t="s">
        <v>1038</v>
      </c>
      <c r="E660" s="50"/>
      <c r="F660" s="58"/>
      <c r="G660" s="51"/>
      <c r="H660" s="51"/>
      <c r="I660" s="50"/>
      <c r="J660" s="58"/>
      <c r="K660" s="52"/>
      <c r="L660" s="59"/>
      <c r="M660" s="60"/>
      <c r="N660" s="51"/>
      <c r="O660" s="59"/>
      <c r="P660" s="59">
        <v>0</v>
      </c>
      <c r="Q660" s="51"/>
      <c r="R660" s="51">
        <f>N660+Q660</f>
        <v>0</v>
      </c>
      <c r="S660" s="51"/>
      <c r="T660" s="52" t="s">
        <v>1035</v>
      </c>
      <c r="U660" s="51">
        <v>95055.33</v>
      </c>
      <c r="V660" s="51">
        <v>95055.33</v>
      </c>
      <c r="W660" s="51">
        <v>95055.33</v>
      </c>
      <c r="X660" s="51">
        <v>95055.33</v>
      </c>
      <c r="Y660" s="19" t="s">
        <v>41</v>
      </c>
      <c r="Z660" s="19" t="s">
        <v>4307</v>
      </c>
      <c r="AA660" s="28"/>
      <c r="AB660" s="56"/>
      <c r="AC660" s="28"/>
      <c r="AD660" s="28"/>
      <c r="AE660" s="54"/>
      <c r="AF660" s="54"/>
      <c r="AG660" s="54"/>
      <c r="AH660" s="53"/>
      <c r="AI660" s="53" t="s">
        <v>1591</v>
      </c>
      <c r="AJ660" s="53" t="s">
        <v>1591</v>
      </c>
    </row>
    <row r="661" spans="1:36" s="3" customFormat="1" ht="24" x14ac:dyDescent="0.25">
      <c r="A661" s="35" t="s">
        <v>1031</v>
      </c>
      <c r="B661" s="18" t="s">
        <v>37</v>
      </c>
      <c r="C661" s="19"/>
      <c r="D661" s="43" t="s">
        <v>1036</v>
      </c>
      <c r="E661" s="50"/>
      <c r="F661" s="36"/>
      <c r="G661" s="51"/>
      <c r="H661" s="51"/>
      <c r="I661" s="36"/>
      <c r="J661" s="34"/>
      <c r="K661" s="37"/>
      <c r="L661" s="38"/>
      <c r="M661" s="39"/>
      <c r="N661" s="42"/>
      <c r="O661" s="74"/>
      <c r="P661" s="39">
        <v>0</v>
      </c>
      <c r="Q661" s="41"/>
      <c r="R661" s="51">
        <f>N661+Q661</f>
        <v>0</v>
      </c>
      <c r="S661" s="51"/>
      <c r="T661" s="52" t="s">
        <v>1035</v>
      </c>
      <c r="U661" s="51">
        <v>6317.08</v>
      </c>
      <c r="V661" s="51">
        <v>6317.08</v>
      </c>
      <c r="W661" s="42">
        <v>6317.08</v>
      </c>
      <c r="X661" s="42">
        <v>6317.08</v>
      </c>
      <c r="Y661" s="34" t="s">
        <v>41</v>
      </c>
      <c r="Z661" s="19" t="s">
        <v>4307</v>
      </c>
      <c r="AA661" s="28"/>
      <c r="AB661" s="56"/>
      <c r="AC661" s="28"/>
      <c r="AD661" s="28"/>
      <c r="AE661" s="54"/>
      <c r="AF661" s="54"/>
      <c r="AG661" s="54"/>
      <c r="AH661" s="53"/>
      <c r="AI661" s="53" t="s">
        <v>1591</v>
      </c>
      <c r="AJ661" s="53" t="s">
        <v>1591</v>
      </c>
    </row>
    <row r="662" spans="1:36" s="3" customFormat="1" ht="24" x14ac:dyDescent="0.25">
      <c r="A662" s="35" t="s">
        <v>1031</v>
      </c>
      <c r="B662" s="18" t="s">
        <v>37</v>
      </c>
      <c r="C662" s="19"/>
      <c r="D662" s="45" t="s">
        <v>1034</v>
      </c>
      <c r="E662" s="50"/>
      <c r="F662" s="58"/>
      <c r="G662" s="51"/>
      <c r="H662" s="51"/>
      <c r="I662" s="50"/>
      <c r="J662" s="58"/>
      <c r="K662" s="52"/>
      <c r="L662" s="59"/>
      <c r="M662" s="60"/>
      <c r="N662" s="51"/>
      <c r="O662" s="59"/>
      <c r="P662" s="59">
        <v>0</v>
      </c>
      <c r="Q662" s="51"/>
      <c r="R662" s="51">
        <f>N662+Q662</f>
        <v>0</v>
      </c>
      <c r="S662" s="51"/>
      <c r="T662" s="52" t="s">
        <v>1035</v>
      </c>
      <c r="U662" s="51">
        <v>44831.54</v>
      </c>
      <c r="V662" s="51">
        <v>44831.54</v>
      </c>
      <c r="W662" s="51">
        <v>44831.54</v>
      </c>
      <c r="X662" s="51">
        <v>44831.54</v>
      </c>
      <c r="Y662" s="19" t="s">
        <v>41</v>
      </c>
      <c r="Z662" s="19" t="s">
        <v>4307</v>
      </c>
      <c r="AA662" s="28"/>
      <c r="AB662" s="56"/>
      <c r="AC662" s="28"/>
      <c r="AD662" s="28"/>
      <c r="AE662" s="54"/>
      <c r="AF662" s="54"/>
      <c r="AG662" s="54"/>
      <c r="AH662" s="53"/>
      <c r="AI662" s="53" t="s">
        <v>1591</v>
      </c>
      <c r="AJ662" s="53" t="s">
        <v>1591</v>
      </c>
    </row>
    <row r="663" spans="1:36" s="3" customFormat="1" ht="60" x14ac:dyDescent="0.25">
      <c r="A663" s="35" t="s">
        <v>1039</v>
      </c>
      <c r="B663" s="18" t="s">
        <v>37</v>
      </c>
      <c r="C663" s="19" t="s">
        <v>1588</v>
      </c>
      <c r="D663" s="45" t="s">
        <v>3444</v>
      </c>
      <c r="E663" s="50" t="s">
        <v>3737</v>
      </c>
      <c r="F663" s="58" t="s">
        <v>43</v>
      </c>
      <c r="G663" s="51">
        <v>1288750.6599999999</v>
      </c>
      <c r="H663" s="51" t="s">
        <v>46</v>
      </c>
      <c r="I663" s="50" t="s">
        <v>97</v>
      </c>
      <c r="J663" s="58" t="s">
        <v>2837</v>
      </c>
      <c r="K663" s="52" t="s">
        <v>311</v>
      </c>
      <c r="L663" s="59">
        <v>42452</v>
      </c>
      <c r="M663" s="39">
        <v>43182</v>
      </c>
      <c r="N663" s="51">
        <v>1259468.03</v>
      </c>
      <c r="O663" s="59" t="s">
        <v>46</v>
      </c>
      <c r="P663" s="59">
        <f>M663+365</f>
        <v>43547</v>
      </c>
      <c r="Q663" s="51"/>
      <c r="R663" s="51">
        <f>N663+Q663</f>
        <v>1259468.03</v>
      </c>
      <c r="S663" s="51" t="s">
        <v>46</v>
      </c>
      <c r="T663" s="52" t="s">
        <v>52</v>
      </c>
      <c r="U663" s="51">
        <v>276621.37</v>
      </c>
      <c r="V663" s="51" t="s">
        <v>46</v>
      </c>
      <c r="W663" s="51">
        <v>58900.98</v>
      </c>
      <c r="X663" s="51">
        <v>276621.37</v>
      </c>
      <c r="Y663" s="19" t="s">
        <v>175</v>
      </c>
      <c r="Z663" s="19"/>
      <c r="AA663" s="28" t="s">
        <v>8446</v>
      </c>
      <c r="AB663" s="56">
        <v>43405</v>
      </c>
      <c r="AC663" s="28" t="s">
        <v>7634</v>
      </c>
      <c r="AD663" s="28" t="s">
        <v>7635</v>
      </c>
      <c r="AE663" s="54" t="s">
        <v>7636</v>
      </c>
      <c r="AF663" s="54"/>
      <c r="AG663" s="54" t="s">
        <v>7637</v>
      </c>
      <c r="AH663" s="53" t="s">
        <v>1591</v>
      </c>
      <c r="AI663" s="53" t="s">
        <v>2686</v>
      </c>
      <c r="AJ663" s="53" t="s">
        <v>1591</v>
      </c>
    </row>
    <row r="664" spans="1:36" s="3" customFormat="1" ht="84" x14ac:dyDescent="0.25">
      <c r="A664" s="35" t="s">
        <v>1039</v>
      </c>
      <c r="B664" s="18" t="s">
        <v>37</v>
      </c>
      <c r="C664" s="19" t="s">
        <v>721</v>
      </c>
      <c r="D664" s="45" t="s">
        <v>3443</v>
      </c>
      <c r="E664" s="50" t="s">
        <v>3735</v>
      </c>
      <c r="F664" s="58" t="s">
        <v>43</v>
      </c>
      <c r="G664" s="51">
        <v>960647.37</v>
      </c>
      <c r="H664" s="51" t="s">
        <v>46</v>
      </c>
      <c r="I664" s="50" t="s">
        <v>61</v>
      </c>
      <c r="J664" s="58" t="s">
        <v>3736</v>
      </c>
      <c r="K664" s="52" t="s">
        <v>2433</v>
      </c>
      <c r="L664" s="59">
        <v>41801</v>
      </c>
      <c r="M664" s="60">
        <v>43197</v>
      </c>
      <c r="N664" s="51">
        <v>950768.32</v>
      </c>
      <c r="O664" s="59" t="s">
        <v>46</v>
      </c>
      <c r="P664" s="59">
        <f>M664+270</f>
        <v>43467</v>
      </c>
      <c r="Q664" s="51"/>
      <c r="R664" s="51">
        <f>N664+Q664</f>
        <v>950768.32</v>
      </c>
      <c r="S664" s="51" t="s">
        <v>46</v>
      </c>
      <c r="T664" s="52" t="s">
        <v>52</v>
      </c>
      <c r="U664" s="51">
        <v>758940.67</v>
      </c>
      <c r="V664" s="51" t="s">
        <v>46</v>
      </c>
      <c r="W664" s="51">
        <v>64654.239999999998</v>
      </c>
      <c r="X664" s="51">
        <v>758940.67</v>
      </c>
      <c r="Y664" s="19" t="s">
        <v>175</v>
      </c>
      <c r="Z664" s="19"/>
      <c r="AA664" s="28" t="s">
        <v>8446</v>
      </c>
      <c r="AB664" s="56">
        <v>43405</v>
      </c>
      <c r="AC664" s="28" t="s">
        <v>7634</v>
      </c>
      <c r="AD664" s="28" t="s">
        <v>7635</v>
      </c>
      <c r="AE664" s="54" t="s">
        <v>7638</v>
      </c>
      <c r="AF664" s="54"/>
      <c r="AG664" s="54" t="s">
        <v>7639</v>
      </c>
      <c r="AH664" s="53" t="s">
        <v>1591</v>
      </c>
      <c r="AI664" s="53" t="s">
        <v>2686</v>
      </c>
      <c r="AJ664" s="53" t="s">
        <v>1591</v>
      </c>
    </row>
    <row r="665" spans="1:36" s="3" customFormat="1" ht="36" x14ac:dyDescent="0.25">
      <c r="A665" s="17" t="s">
        <v>1040</v>
      </c>
      <c r="B665" s="18" t="s">
        <v>37</v>
      </c>
      <c r="C665" s="76" t="s">
        <v>55</v>
      </c>
      <c r="D665" s="45" t="s">
        <v>7057</v>
      </c>
      <c r="E665" s="78"/>
      <c r="F665" s="79"/>
      <c r="G665" s="80"/>
      <c r="H665" s="80"/>
      <c r="I665" s="78" t="s">
        <v>1044</v>
      </c>
      <c r="J665" s="79" t="s">
        <v>4813</v>
      </c>
      <c r="K665" s="81"/>
      <c r="L665" s="82">
        <v>42157</v>
      </c>
      <c r="M665" s="83">
        <v>42337</v>
      </c>
      <c r="N665" s="80">
        <v>522002.31</v>
      </c>
      <c r="O665" s="82"/>
      <c r="P665" s="84"/>
      <c r="Q665" s="80">
        <v>0</v>
      </c>
      <c r="R665" s="80">
        <v>522002.31</v>
      </c>
      <c r="S665" s="80"/>
      <c r="T665" s="81"/>
      <c r="U665" s="80"/>
      <c r="V665" s="80"/>
      <c r="W665" s="80"/>
      <c r="X665" s="80">
        <v>296813.87</v>
      </c>
      <c r="Y665" s="76" t="s">
        <v>4814</v>
      </c>
      <c r="Z665" s="19" t="s">
        <v>7038</v>
      </c>
      <c r="AA665" s="28"/>
      <c r="AB665" s="56"/>
      <c r="AC665" s="28"/>
      <c r="AD665" s="28"/>
      <c r="AE665" s="54"/>
      <c r="AF665" s="54"/>
      <c r="AG665" s="54"/>
      <c r="AH665" s="53"/>
      <c r="AI665" s="53" t="s">
        <v>1591</v>
      </c>
      <c r="AJ665" s="53" t="s">
        <v>1591</v>
      </c>
    </row>
    <row r="666" spans="1:36" s="3" customFormat="1" ht="36" x14ac:dyDescent="0.25">
      <c r="A666" s="17" t="s">
        <v>1040</v>
      </c>
      <c r="B666" s="18" t="s">
        <v>37</v>
      </c>
      <c r="C666" s="76" t="s">
        <v>812</v>
      </c>
      <c r="D666" s="45" t="s">
        <v>7056</v>
      </c>
      <c r="E666" s="78"/>
      <c r="F666" s="79"/>
      <c r="G666" s="80"/>
      <c r="H666" s="80"/>
      <c r="I666" s="78" t="s">
        <v>153</v>
      </c>
      <c r="J666" s="79" t="s">
        <v>4835</v>
      </c>
      <c r="K666" s="81"/>
      <c r="L666" s="82">
        <v>41170</v>
      </c>
      <c r="M666" s="83">
        <v>41350</v>
      </c>
      <c r="N666" s="80">
        <v>486480</v>
      </c>
      <c r="O666" s="82"/>
      <c r="P666" s="84" t="s">
        <v>4836</v>
      </c>
      <c r="Q666" s="80">
        <v>0</v>
      </c>
      <c r="R666" s="80">
        <v>486480</v>
      </c>
      <c r="S666" s="80"/>
      <c r="T666" s="81"/>
      <c r="U666" s="80"/>
      <c r="V666" s="80"/>
      <c r="W666" s="80"/>
      <c r="X666" s="80">
        <v>253819.5</v>
      </c>
      <c r="Y666" s="76" t="s">
        <v>1042</v>
      </c>
      <c r="Z666" s="19" t="s">
        <v>7038</v>
      </c>
      <c r="AA666" s="28"/>
      <c r="AB666" s="56"/>
      <c r="AC666" s="28"/>
      <c r="AD666" s="28"/>
      <c r="AE666" s="54"/>
      <c r="AF666" s="54"/>
      <c r="AG666" s="54"/>
      <c r="AH666" s="53"/>
      <c r="AI666" s="53" t="s">
        <v>1591</v>
      </c>
      <c r="AJ666" s="53" t="s">
        <v>1591</v>
      </c>
    </row>
    <row r="667" spans="1:36" s="3" customFormat="1" ht="36" x14ac:dyDescent="0.25">
      <c r="A667" s="17" t="s">
        <v>1040</v>
      </c>
      <c r="B667" s="18" t="s">
        <v>37</v>
      </c>
      <c r="C667" s="76" t="s">
        <v>55</v>
      </c>
      <c r="D667" s="45" t="s">
        <v>7055</v>
      </c>
      <c r="E667" s="78"/>
      <c r="F667" s="79" t="s">
        <v>4820</v>
      </c>
      <c r="G667" s="80"/>
      <c r="H667" s="80"/>
      <c r="I667" s="78" t="s">
        <v>1044</v>
      </c>
      <c r="J667" s="79" t="s">
        <v>4813</v>
      </c>
      <c r="K667" s="81"/>
      <c r="L667" s="82">
        <v>42300</v>
      </c>
      <c r="M667" s="83">
        <v>42480</v>
      </c>
      <c r="N667" s="80">
        <v>428643.8</v>
      </c>
      <c r="O667" s="82"/>
      <c r="P667" s="84"/>
      <c r="Q667" s="80">
        <v>0</v>
      </c>
      <c r="R667" s="80">
        <v>428643.8</v>
      </c>
      <c r="S667" s="80"/>
      <c r="T667" s="81"/>
      <c r="U667" s="80"/>
      <c r="V667" s="80"/>
      <c r="W667" s="80"/>
      <c r="X667" s="80">
        <v>79013.05</v>
      </c>
      <c r="Y667" s="76" t="s">
        <v>4814</v>
      </c>
      <c r="Z667" s="19" t="s">
        <v>7038</v>
      </c>
      <c r="AA667" s="28"/>
      <c r="AB667" s="56"/>
      <c r="AC667" s="28"/>
      <c r="AD667" s="28"/>
      <c r="AE667" s="54"/>
      <c r="AF667" s="54"/>
      <c r="AG667" s="54"/>
      <c r="AH667" s="53"/>
      <c r="AI667" s="53" t="s">
        <v>1591</v>
      </c>
      <c r="AJ667" s="53" t="s">
        <v>1591</v>
      </c>
    </row>
    <row r="668" spans="1:36" s="3" customFormat="1" ht="36" x14ac:dyDescent="0.25">
      <c r="A668" s="17" t="s">
        <v>1040</v>
      </c>
      <c r="B668" s="18" t="s">
        <v>37</v>
      </c>
      <c r="C668" s="76" t="s">
        <v>487</v>
      </c>
      <c r="D668" s="45" t="s">
        <v>7054</v>
      </c>
      <c r="E668" s="78" t="s">
        <v>4832</v>
      </c>
      <c r="F668" s="79" t="s">
        <v>661</v>
      </c>
      <c r="G668" s="80"/>
      <c r="H668" s="80"/>
      <c r="I668" s="78" t="s">
        <v>4833</v>
      </c>
      <c r="J668" s="79" t="s">
        <v>4834</v>
      </c>
      <c r="K668" s="81"/>
      <c r="L668" s="82">
        <v>41988</v>
      </c>
      <c r="M668" s="83">
        <v>42168</v>
      </c>
      <c r="N668" s="80">
        <v>309177.36</v>
      </c>
      <c r="O668" s="82"/>
      <c r="P668" s="84"/>
      <c r="Q668" s="80">
        <v>0</v>
      </c>
      <c r="R668" s="80">
        <v>309177.36</v>
      </c>
      <c r="S668" s="80"/>
      <c r="T668" s="81"/>
      <c r="U668" s="80"/>
      <c r="V668" s="80"/>
      <c r="W668" s="80"/>
      <c r="X668" s="80">
        <v>228059.66</v>
      </c>
      <c r="Y668" s="76" t="s">
        <v>4814</v>
      </c>
      <c r="Z668" s="19" t="s">
        <v>7038</v>
      </c>
      <c r="AA668" s="28"/>
      <c r="AB668" s="56"/>
      <c r="AC668" s="28"/>
      <c r="AD668" s="28"/>
      <c r="AE668" s="54"/>
      <c r="AF668" s="54"/>
      <c r="AG668" s="54"/>
      <c r="AH668" s="53"/>
      <c r="AI668" s="53" t="s">
        <v>1591</v>
      </c>
      <c r="AJ668" s="53" t="s">
        <v>1591</v>
      </c>
    </row>
    <row r="669" spans="1:36" s="3" customFormat="1" ht="36" x14ac:dyDescent="0.25">
      <c r="A669" s="17" t="s">
        <v>1040</v>
      </c>
      <c r="B669" s="18" t="s">
        <v>37</v>
      </c>
      <c r="C669" s="76" t="s">
        <v>4829</v>
      </c>
      <c r="D669" s="45" t="s">
        <v>7053</v>
      </c>
      <c r="E669" s="78" t="s">
        <v>4830</v>
      </c>
      <c r="F669" s="79" t="s">
        <v>4825</v>
      </c>
      <c r="G669" s="80">
        <v>19283.09</v>
      </c>
      <c r="H669" s="80"/>
      <c r="I669" s="78" t="s">
        <v>63</v>
      </c>
      <c r="J669" s="79" t="s">
        <v>1041</v>
      </c>
      <c r="K669" s="81"/>
      <c r="L669" s="82">
        <v>40512</v>
      </c>
      <c r="M669" s="83">
        <v>40692</v>
      </c>
      <c r="N669" s="80">
        <v>304606.27</v>
      </c>
      <c r="O669" s="82"/>
      <c r="P669" s="84" t="s">
        <v>4831</v>
      </c>
      <c r="Q669" s="80">
        <v>0</v>
      </c>
      <c r="R669" s="80">
        <v>304606.27</v>
      </c>
      <c r="S669" s="80"/>
      <c r="T669" s="81"/>
      <c r="U669" s="80"/>
      <c r="V669" s="80"/>
      <c r="W669" s="80"/>
      <c r="X669" s="80">
        <v>209304.22</v>
      </c>
      <c r="Y669" s="76" t="s">
        <v>1042</v>
      </c>
      <c r="Z669" s="19" t="s">
        <v>7038</v>
      </c>
      <c r="AA669" s="28"/>
      <c r="AB669" s="56"/>
      <c r="AC669" s="28"/>
      <c r="AD669" s="28"/>
      <c r="AE669" s="54"/>
      <c r="AF669" s="54"/>
      <c r="AG669" s="54"/>
      <c r="AH669" s="53"/>
      <c r="AI669" s="53" t="s">
        <v>1591</v>
      </c>
      <c r="AJ669" s="53" t="s">
        <v>1591</v>
      </c>
    </row>
    <row r="670" spans="1:36" s="3" customFormat="1" ht="36" x14ac:dyDescent="0.25">
      <c r="A670" s="17" t="s">
        <v>1040</v>
      </c>
      <c r="B670" s="18" t="s">
        <v>37</v>
      </c>
      <c r="C670" s="76" t="s">
        <v>4827</v>
      </c>
      <c r="D670" s="45" t="s">
        <v>7052</v>
      </c>
      <c r="E670" s="78"/>
      <c r="F670" s="79"/>
      <c r="G670" s="80"/>
      <c r="H670" s="80"/>
      <c r="I670" s="78" t="s">
        <v>994</v>
      </c>
      <c r="J670" s="79" t="s">
        <v>4828</v>
      </c>
      <c r="K670" s="81"/>
      <c r="L670" s="82">
        <v>41245</v>
      </c>
      <c r="M670" s="83">
        <v>41425</v>
      </c>
      <c r="N670" s="80">
        <v>302197.24</v>
      </c>
      <c r="O670" s="82"/>
      <c r="P670" s="84"/>
      <c r="Q670" s="80">
        <v>0</v>
      </c>
      <c r="R670" s="80">
        <v>302197.24</v>
      </c>
      <c r="S670" s="80"/>
      <c r="T670" s="81"/>
      <c r="U670" s="80"/>
      <c r="V670" s="80"/>
      <c r="W670" s="80"/>
      <c r="X670" s="80">
        <v>52927.38</v>
      </c>
      <c r="Y670" s="76" t="s">
        <v>1042</v>
      </c>
      <c r="Z670" s="19" t="s">
        <v>7038</v>
      </c>
      <c r="AA670" s="28"/>
      <c r="AB670" s="56"/>
      <c r="AC670" s="28"/>
      <c r="AD670" s="28"/>
      <c r="AE670" s="54"/>
      <c r="AF670" s="54"/>
      <c r="AG670" s="54"/>
      <c r="AH670" s="53"/>
      <c r="AI670" s="53" t="s">
        <v>1591</v>
      </c>
      <c r="AJ670" s="53" t="s">
        <v>1591</v>
      </c>
    </row>
    <row r="671" spans="1:36" s="3" customFormat="1" ht="36" x14ac:dyDescent="0.25">
      <c r="A671" s="17" t="s">
        <v>1040</v>
      </c>
      <c r="B671" s="18" t="s">
        <v>37</v>
      </c>
      <c r="C671" s="76" t="s">
        <v>4823</v>
      </c>
      <c r="D671" s="45" t="s">
        <v>7051</v>
      </c>
      <c r="E671" s="78" t="s">
        <v>4824</v>
      </c>
      <c r="F671" s="79" t="s">
        <v>4825</v>
      </c>
      <c r="G671" s="80"/>
      <c r="H671" s="80"/>
      <c r="I671" s="78" t="s">
        <v>968</v>
      </c>
      <c r="J671" s="79" t="s">
        <v>4826</v>
      </c>
      <c r="K671" s="81"/>
      <c r="L671" s="82">
        <v>40613</v>
      </c>
      <c r="M671" s="83">
        <v>40793</v>
      </c>
      <c r="N671" s="80">
        <v>277232.52</v>
      </c>
      <c r="O671" s="82"/>
      <c r="P671" s="84"/>
      <c r="Q671" s="80">
        <v>0</v>
      </c>
      <c r="R671" s="80">
        <v>277232.52</v>
      </c>
      <c r="S671" s="80"/>
      <c r="T671" s="81"/>
      <c r="U671" s="80"/>
      <c r="V671" s="80"/>
      <c r="W671" s="80"/>
      <c r="X671" s="80"/>
      <c r="Y671" s="76" t="s">
        <v>4814</v>
      </c>
      <c r="Z671" s="19" t="s">
        <v>7038</v>
      </c>
      <c r="AA671" s="28"/>
      <c r="AB671" s="56"/>
      <c r="AC671" s="28"/>
      <c r="AD671" s="28"/>
      <c r="AE671" s="54"/>
      <c r="AF671" s="54"/>
      <c r="AG671" s="54"/>
      <c r="AH671" s="53"/>
      <c r="AI671" s="53" t="s">
        <v>1591</v>
      </c>
      <c r="AJ671" s="53" t="s">
        <v>1591</v>
      </c>
    </row>
    <row r="672" spans="1:36" s="3" customFormat="1" ht="36" x14ac:dyDescent="0.25">
      <c r="A672" s="17" t="s">
        <v>1040</v>
      </c>
      <c r="B672" s="18" t="s">
        <v>37</v>
      </c>
      <c r="C672" s="76" t="s">
        <v>57</v>
      </c>
      <c r="D672" s="45" t="s">
        <v>7050</v>
      </c>
      <c r="E672" s="78"/>
      <c r="F672" s="79"/>
      <c r="G672" s="80"/>
      <c r="H672" s="80"/>
      <c r="I672" s="78" t="s">
        <v>783</v>
      </c>
      <c r="J672" s="79" t="s">
        <v>4822</v>
      </c>
      <c r="K672" s="81"/>
      <c r="L672" s="82">
        <v>42069</v>
      </c>
      <c r="M672" s="83">
        <v>42249</v>
      </c>
      <c r="N672" s="80">
        <v>241852.34</v>
      </c>
      <c r="O672" s="82"/>
      <c r="P672" s="84"/>
      <c r="Q672" s="80">
        <v>0</v>
      </c>
      <c r="R672" s="80">
        <v>241852.34</v>
      </c>
      <c r="S672" s="80"/>
      <c r="T672" s="81"/>
      <c r="U672" s="80"/>
      <c r="V672" s="80"/>
      <c r="W672" s="80"/>
      <c r="X672" s="80">
        <v>71915.66</v>
      </c>
      <c r="Y672" s="76" t="s">
        <v>1042</v>
      </c>
      <c r="Z672" s="19" t="s">
        <v>7038</v>
      </c>
      <c r="AA672" s="28"/>
      <c r="AB672" s="56"/>
      <c r="AC672" s="28"/>
      <c r="AD672" s="28"/>
      <c r="AE672" s="54"/>
      <c r="AF672" s="54"/>
      <c r="AG672" s="54"/>
      <c r="AH672" s="53"/>
      <c r="AI672" s="53" t="s">
        <v>1591</v>
      </c>
      <c r="AJ672" s="53" t="s">
        <v>1591</v>
      </c>
    </row>
    <row r="673" spans="1:36" s="3" customFormat="1" ht="36" x14ac:dyDescent="0.25">
      <c r="A673" s="17" t="s">
        <v>1040</v>
      </c>
      <c r="B673" s="18" t="s">
        <v>37</v>
      </c>
      <c r="C673" s="76" t="s">
        <v>57</v>
      </c>
      <c r="D673" s="45" t="s">
        <v>7049</v>
      </c>
      <c r="E673" s="78"/>
      <c r="F673" s="79"/>
      <c r="G673" s="80"/>
      <c r="H673" s="80"/>
      <c r="I673" s="78" t="s">
        <v>1044</v>
      </c>
      <c r="J673" s="79" t="s">
        <v>4813</v>
      </c>
      <c r="K673" s="81"/>
      <c r="L673" s="82">
        <v>42314</v>
      </c>
      <c r="M673" s="83">
        <v>42494</v>
      </c>
      <c r="N673" s="80">
        <v>232387.97</v>
      </c>
      <c r="O673" s="82"/>
      <c r="P673" s="84"/>
      <c r="Q673" s="80">
        <v>0</v>
      </c>
      <c r="R673" s="80">
        <v>232387.97</v>
      </c>
      <c r="S673" s="80"/>
      <c r="T673" s="81"/>
      <c r="U673" s="80"/>
      <c r="V673" s="80"/>
      <c r="W673" s="80"/>
      <c r="X673" s="80"/>
      <c r="Y673" s="76" t="s">
        <v>4814</v>
      </c>
      <c r="Z673" s="19" t="s">
        <v>7038</v>
      </c>
      <c r="AA673" s="28"/>
      <c r="AB673" s="56"/>
      <c r="AC673" s="28"/>
      <c r="AD673" s="28"/>
      <c r="AE673" s="54"/>
      <c r="AF673" s="54"/>
      <c r="AG673" s="54"/>
      <c r="AH673" s="53"/>
      <c r="AI673" s="53" t="s">
        <v>1591</v>
      </c>
      <c r="AJ673" s="53" t="s">
        <v>1591</v>
      </c>
    </row>
    <row r="674" spans="1:36" s="3" customFormat="1" ht="36" x14ac:dyDescent="0.25">
      <c r="A674" s="17" t="s">
        <v>1040</v>
      </c>
      <c r="B674" s="18" t="s">
        <v>37</v>
      </c>
      <c r="C674" s="76" t="s">
        <v>85</v>
      </c>
      <c r="D674" s="45" t="s">
        <v>7048</v>
      </c>
      <c r="E674" s="78"/>
      <c r="F674" s="79"/>
      <c r="G674" s="80"/>
      <c r="H674" s="80"/>
      <c r="I674" s="78" t="s">
        <v>1044</v>
      </c>
      <c r="J674" s="79" t="s">
        <v>4813</v>
      </c>
      <c r="K674" s="81"/>
      <c r="L674" s="82">
        <v>41977</v>
      </c>
      <c r="M674" s="83">
        <v>42127</v>
      </c>
      <c r="N674" s="80">
        <v>171741.09</v>
      </c>
      <c r="O674" s="82"/>
      <c r="P674" s="84"/>
      <c r="Q674" s="80">
        <v>0</v>
      </c>
      <c r="R674" s="80">
        <v>171741.09</v>
      </c>
      <c r="S674" s="80"/>
      <c r="T674" s="81"/>
      <c r="U674" s="80"/>
      <c r="V674" s="80"/>
      <c r="W674" s="80"/>
      <c r="X674" s="80"/>
      <c r="Y674" s="76" t="s">
        <v>4821</v>
      </c>
      <c r="Z674" s="19" t="s">
        <v>7038</v>
      </c>
      <c r="AA674" s="28"/>
      <c r="AB674" s="56"/>
      <c r="AC674" s="28"/>
      <c r="AD674" s="28"/>
      <c r="AE674" s="54"/>
      <c r="AF674" s="54"/>
      <c r="AG674" s="54"/>
      <c r="AH674" s="53"/>
      <c r="AI674" s="53" t="s">
        <v>1591</v>
      </c>
      <c r="AJ674" s="53" t="s">
        <v>1591</v>
      </c>
    </row>
    <row r="675" spans="1:36" s="3" customFormat="1" ht="36" x14ac:dyDescent="0.25">
      <c r="A675" s="17" t="s">
        <v>1040</v>
      </c>
      <c r="B675" s="18" t="s">
        <v>37</v>
      </c>
      <c r="C675" s="76" t="s">
        <v>95</v>
      </c>
      <c r="D675" s="45" t="s">
        <v>7047</v>
      </c>
      <c r="E675" s="78"/>
      <c r="F675" s="79" t="s">
        <v>4820</v>
      </c>
      <c r="G675" s="80"/>
      <c r="H675" s="80"/>
      <c r="I675" s="78" t="s">
        <v>1044</v>
      </c>
      <c r="J675" s="79" t="s">
        <v>4813</v>
      </c>
      <c r="K675" s="81"/>
      <c r="L675" s="82">
        <v>42300</v>
      </c>
      <c r="M675" s="83">
        <v>42480</v>
      </c>
      <c r="N675" s="80">
        <v>165666.07999999999</v>
      </c>
      <c r="O675" s="82"/>
      <c r="P675" s="84"/>
      <c r="Q675" s="80">
        <v>0</v>
      </c>
      <c r="R675" s="80">
        <v>165666.07999999999</v>
      </c>
      <c r="S675" s="80"/>
      <c r="T675" s="81"/>
      <c r="U675" s="80"/>
      <c r="V675" s="80"/>
      <c r="W675" s="80"/>
      <c r="X675" s="80">
        <v>175492.57</v>
      </c>
      <c r="Y675" s="76" t="s">
        <v>1042</v>
      </c>
      <c r="Z675" s="19" t="s">
        <v>7038</v>
      </c>
      <c r="AA675" s="28"/>
      <c r="AB675" s="56"/>
      <c r="AC675" s="28"/>
      <c r="AD675" s="28"/>
      <c r="AE675" s="54"/>
      <c r="AF675" s="54"/>
      <c r="AG675" s="54"/>
      <c r="AH675" s="53"/>
      <c r="AI675" s="53" t="s">
        <v>1591</v>
      </c>
      <c r="AJ675" s="53" t="s">
        <v>1591</v>
      </c>
    </row>
    <row r="676" spans="1:36" s="3" customFormat="1" ht="36" x14ac:dyDescent="0.25">
      <c r="A676" s="17" t="s">
        <v>1040</v>
      </c>
      <c r="B676" s="18" t="s">
        <v>37</v>
      </c>
      <c r="C676" s="76" t="s">
        <v>77</v>
      </c>
      <c r="D676" s="45" t="s">
        <v>7046</v>
      </c>
      <c r="E676" s="78"/>
      <c r="F676" s="79"/>
      <c r="G676" s="80"/>
      <c r="H676" s="80"/>
      <c r="I676" s="78" t="s">
        <v>97</v>
      </c>
      <c r="J676" s="79" t="s">
        <v>4815</v>
      </c>
      <c r="K676" s="81"/>
      <c r="L676" s="82">
        <v>41982</v>
      </c>
      <c r="M676" s="83">
        <v>42102</v>
      </c>
      <c r="N676" s="80">
        <v>132914.71</v>
      </c>
      <c r="O676" s="82"/>
      <c r="P676" s="84"/>
      <c r="Q676" s="80">
        <v>0</v>
      </c>
      <c r="R676" s="80">
        <v>132914.71</v>
      </c>
      <c r="S676" s="80"/>
      <c r="T676" s="81"/>
      <c r="U676" s="80"/>
      <c r="V676" s="80"/>
      <c r="W676" s="80"/>
      <c r="X676" s="80">
        <v>132914.71</v>
      </c>
      <c r="Y676" s="76" t="s">
        <v>1042</v>
      </c>
      <c r="Z676" s="19" t="s">
        <v>7038</v>
      </c>
      <c r="AA676" s="28"/>
      <c r="AB676" s="56"/>
      <c r="AC676" s="28"/>
      <c r="AD676" s="28"/>
      <c r="AE676" s="54"/>
      <c r="AF676" s="54"/>
      <c r="AG676" s="54"/>
      <c r="AH676" s="53"/>
      <c r="AI676" s="53" t="s">
        <v>1591</v>
      </c>
      <c r="AJ676" s="53" t="s">
        <v>1591</v>
      </c>
    </row>
    <row r="677" spans="1:36" s="3" customFormat="1" ht="36" x14ac:dyDescent="0.25">
      <c r="A677" s="17" t="s">
        <v>1040</v>
      </c>
      <c r="B677" s="18" t="s">
        <v>37</v>
      </c>
      <c r="C677" s="76" t="s">
        <v>1043</v>
      </c>
      <c r="D677" s="45" t="s">
        <v>7045</v>
      </c>
      <c r="E677" s="78" t="s">
        <v>4817</v>
      </c>
      <c r="F677" s="79" t="s">
        <v>4818</v>
      </c>
      <c r="G677" s="80">
        <v>136115.82</v>
      </c>
      <c r="H677" s="80" t="s">
        <v>645</v>
      </c>
      <c r="I677" s="78" t="s">
        <v>61</v>
      </c>
      <c r="J677" s="79" t="s">
        <v>4819</v>
      </c>
      <c r="K677" s="81"/>
      <c r="L677" s="82">
        <v>41512</v>
      </c>
      <c r="M677" s="83">
        <v>41632</v>
      </c>
      <c r="N677" s="80">
        <v>106050.26</v>
      </c>
      <c r="O677" s="82"/>
      <c r="P677" s="84"/>
      <c r="Q677" s="80">
        <v>0</v>
      </c>
      <c r="R677" s="80">
        <v>106050.26</v>
      </c>
      <c r="S677" s="80"/>
      <c r="T677" s="81"/>
      <c r="U677" s="80"/>
      <c r="V677" s="80"/>
      <c r="W677" s="80"/>
      <c r="X677" s="80">
        <v>17254.189999999999</v>
      </c>
      <c r="Y677" s="76" t="s">
        <v>1042</v>
      </c>
      <c r="Z677" s="19" t="s">
        <v>7038</v>
      </c>
      <c r="AA677" s="28"/>
      <c r="AB677" s="56"/>
      <c r="AC677" s="28"/>
      <c r="AD677" s="28"/>
      <c r="AE677" s="54"/>
      <c r="AF677" s="54"/>
      <c r="AG677" s="54"/>
      <c r="AH677" s="53"/>
      <c r="AI677" s="53" t="s">
        <v>1591</v>
      </c>
      <c r="AJ677" s="53" t="s">
        <v>1591</v>
      </c>
    </row>
    <row r="678" spans="1:36" s="3" customFormat="1" ht="36" x14ac:dyDescent="0.25">
      <c r="A678" s="17" t="s">
        <v>1040</v>
      </c>
      <c r="B678" s="18" t="s">
        <v>37</v>
      </c>
      <c r="C678" s="76" t="s">
        <v>88</v>
      </c>
      <c r="D678" s="45" t="s">
        <v>7044</v>
      </c>
      <c r="E678" s="78"/>
      <c r="F678" s="79"/>
      <c r="G678" s="80"/>
      <c r="H678" s="80"/>
      <c r="I678" s="78" t="s">
        <v>1044</v>
      </c>
      <c r="J678" s="79" t="s">
        <v>4813</v>
      </c>
      <c r="K678" s="81"/>
      <c r="L678" s="82">
        <v>42324</v>
      </c>
      <c r="M678" s="83">
        <v>42444</v>
      </c>
      <c r="N678" s="80">
        <v>78841.990000000005</v>
      </c>
      <c r="O678" s="82"/>
      <c r="P678" s="84"/>
      <c r="Q678" s="80">
        <v>0</v>
      </c>
      <c r="R678" s="80">
        <v>78841.990000000005</v>
      </c>
      <c r="S678" s="80"/>
      <c r="T678" s="81"/>
      <c r="U678" s="80"/>
      <c r="V678" s="80"/>
      <c r="W678" s="80"/>
      <c r="X678" s="80">
        <v>31907.919999999998</v>
      </c>
      <c r="Y678" s="76" t="s">
        <v>4816</v>
      </c>
      <c r="Z678" s="19" t="s">
        <v>7038</v>
      </c>
      <c r="AA678" s="28"/>
      <c r="AB678" s="56"/>
      <c r="AC678" s="28"/>
      <c r="AD678" s="28"/>
      <c r="AE678" s="54"/>
      <c r="AF678" s="54"/>
      <c r="AG678" s="54"/>
      <c r="AH678" s="53"/>
      <c r="AI678" s="53" t="s">
        <v>1591</v>
      </c>
      <c r="AJ678" s="53" t="s">
        <v>1591</v>
      </c>
    </row>
    <row r="679" spans="1:36" s="3" customFormat="1" ht="36" x14ac:dyDescent="0.25">
      <c r="A679" s="17" t="s">
        <v>1040</v>
      </c>
      <c r="B679" s="18" t="s">
        <v>37</v>
      </c>
      <c r="C679" s="76" t="s">
        <v>728</v>
      </c>
      <c r="D679" s="45" t="s">
        <v>7043</v>
      </c>
      <c r="E679" s="78"/>
      <c r="F679" s="79"/>
      <c r="G679" s="80"/>
      <c r="H679" s="80"/>
      <c r="I679" s="78" t="s">
        <v>97</v>
      </c>
      <c r="J679" s="79" t="s">
        <v>4815</v>
      </c>
      <c r="K679" s="81"/>
      <c r="L679" s="82">
        <v>42319</v>
      </c>
      <c r="M679" s="83">
        <v>42469</v>
      </c>
      <c r="N679" s="80">
        <v>61793.5</v>
      </c>
      <c r="O679" s="82"/>
      <c r="P679" s="84"/>
      <c r="Q679" s="80">
        <v>0</v>
      </c>
      <c r="R679" s="80">
        <v>61793.5</v>
      </c>
      <c r="S679" s="80"/>
      <c r="T679" s="81"/>
      <c r="U679" s="80"/>
      <c r="V679" s="80"/>
      <c r="W679" s="80"/>
      <c r="X679" s="80"/>
      <c r="Y679" s="76" t="s">
        <v>1042</v>
      </c>
      <c r="Z679" s="19" t="s">
        <v>7038</v>
      </c>
      <c r="AA679" s="28"/>
      <c r="AB679" s="56"/>
      <c r="AC679" s="28"/>
      <c r="AD679" s="28"/>
      <c r="AE679" s="54"/>
      <c r="AF679" s="54"/>
      <c r="AG679" s="54"/>
      <c r="AH679" s="53"/>
      <c r="AI679" s="53" t="s">
        <v>1591</v>
      </c>
      <c r="AJ679" s="53" t="s">
        <v>1591</v>
      </c>
    </row>
    <row r="680" spans="1:36" s="3" customFormat="1" ht="36" x14ac:dyDescent="0.25">
      <c r="A680" s="17" t="s">
        <v>1040</v>
      </c>
      <c r="B680" s="18" t="s">
        <v>37</v>
      </c>
      <c r="C680" s="76" t="s">
        <v>89</v>
      </c>
      <c r="D680" s="45" t="s">
        <v>7042</v>
      </c>
      <c r="E680" s="78"/>
      <c r="F680" s="79"/>
      <c r="G680" s="80"/>
      <c r="H680" s="80"/>
      <c r="I680" s="78" t="s">
        <v>1044</v>
      </c>
      <c r="J680" s="79" t="s">
        <v>4813</v>
      </c>
      <c r="K680" s="81"/>
      <c r="L680" s="82">
        <v>42314</v>
      </c>
      <c r="M680" s="83">
        <v>42404</v>
      </c>
      <c r="N680" s="80">
        <v>60169.2</v>
      </c>
      <c r="O680" s="82"/>
      <c r="P680" s="84"/>
      <c r="Q680" s="80">
        <v>0</v>
      </c>
      <c r="R680" s="80">
        <v>60169.2</v>
      </c>
      <c r="S680" s="80"/>
      <c r="T680" s="81"/>
      <c r="U680" s="80"/>
      <c r="V680" s="80"/>
      <c r="W680" s="80"/>
      <c r="X680" s="80"/>
      <c r="Y680" s="76" t="s">
        <v>4814</v>
      </c>
      <c r="Z680" s="19" t="s">
        <v>7038</v>
      </c>
      <c r="AA680" s="28"/>
      <c r="AB680" s="56"/>
      <c r="AC680" s="28"/>
      <c r="AD680" s="28"/>
      <c r="AE680" s="54"/>
      <c r="AF680" s="54"/>
      <c r="AG680" s="54"/>
      <c r="AH680" s="53"/>
      <c r="AI680" s="53" t="s">
        <v>1591</v>
      </c>
      <c r="AJ680" s="53" t="s">
        <v>1591</v>
      </c>
    </row>
    <row r="681" spans="1:36" s="3" customFormat="1" ht="48" x14ac:dyDescent="0.25">
      <c r="A681" s="17" t="s">
        <v>1040</v>
      </c>
      <c r="B681" s="18" t="s">
        <v>37</v>
      </c>
      <c r="C681" s="76" t="s">
        <v>95</v>
      </c>
      <c r="D681" s="45" t="s">
        <v>7041</v>
      </c>
      <c r="E681" s="78"/>
      <c r="F681" s="79"/>
      <c r="G681" s="80"/>
      <c r="H681" s="80"/>
      <c r="I681" s="78" t="s">
        <v>1044</v>
      </c>
      <c r="J681" s="79" t="s">
        <v>4813</v>
      </c>
      <c r="K681" s="81"/>
      <c r="L681" s="82">
        <v>42314</v>
      </c>
      <c r="M681" s="83">
        <v>42404</v>
      </c>
      <c r="N681" s="80">
        <v>56643.71</v>
      </c>
      <c r="O681" s="82"/>
      <c r="P681" s="84"/>
      <c r="Q681" s="80">
        <v>0</v>
      </c>
      <c r="R681" s="80">
        <v>56643.71</v>
      </c>
      <c r="S681" s="80"/>
      <c r="T681" s="81"/>
      <c r="U681" s="80"/>
      <c r="V681" s="80"/>
      <c r="W681" s="80"/>
      <c r="X681" s="80">
        <v>18768.97</v>
      </c>
      <c r="Y681" s="76" t="s">
        <v>1042</v>
      </c>
      <c r="Z681" s="19" t="s">
        <v>7038</v>
      </c>
      <c r="AA681" s="28"/>
      <c r="AB681" s="56"/>
      <c r="AC681" s="28"/>
      <c r="AD681" s="28"/>
      <c r="AE681" s="54"/>
      <c r="AF681" s="54"/>
      <c r="AG681" s="54"/>
      <c r="AH681" s="53"/>
      <c r="AI681" s="53" t="s">
        <v>1591</v>
      </c>
      <c r="AJ681" s="53" t="s">
        <v>1591</v>
      </c>
    </row>
    <row r="682" spans="1:36" s="3" customFormat="1" ht="36" x14ac:dyDescent="0.25">
      <c r="A682" s="17" t="s">
        <v>1040</v>
      </c>
      <c r="B682" s="18" t="s">
        <v>37</v>
      </c>
      <c r="C682" s="76" t="s">
        <v>709</v>
      </c>
      <c r="D682" s="45" t="s">
        <v>7040</v>
      </c>
      <c r="E682" s="78"/>
      <c r="F682" s="79"/>
      <c r="G682" s="80"/>
      <c r="H682" s="80"/>
      <c r="I682" s="78" t="s">
        <v>1044</v>
      </c>
      <c r="J682" s="79" t="s">
        <v>4813</v>
      </c>
      <c r="K682" s="81"/>
      <c r="L682" s="82">
        <v>41844</v>
      </c>
      <c r="M682" s="83">
        <v>41904</v>
      </c>
      <c r="N682" s="80">
        <v>47722.27</v>
      </c>
      <c r="O682" s="82"/>
      <c r="P682" s="84"/>
      <c r="Q682" s="80">
        <v>0</v>
      </c>
      <c r="R682" s="80">
        <v>47722.27</v>
      </c>
      <c r="S682" s="80"/>
      <c r="T682" s="81"/>
      <c r="U682" s="80"/>
      <c r="V682" s="80"/>
      <c r="W682" s="80"/>
      <c r="X682" s="80">
        <v>42865.34</v>
      </c>
      <c r="Y682" s="76" t="s">
        <v>1042</v>
      </c>
      <c r="Z682" s="19" t="s">
        <v>7038</v>
      </c>
      <c r="AA682" s="28"/>
      <c r="AB682" s="56"/>
      <c r="AC682" s="28"/>
      <c r="AD682" s="28"/>
      <c r="AE682" s="54"/>
      <c r="AF682" s="54"/>
      <c r="AG682" s="54"/>
      <c r="AH682" s="53"/>
      <c r="AI682" s="53" t="s">
        <v>1591</v>
      </c>
      <c r="AJ682" s="53" t="s">
        <v>1591</v>
      </c>
    </row>
    <row r="683" spans="1:36" s="3" customFormat="1" ht="36" x14ac:dyDescent="0.25">
      <c r="A683" s="17" t="s">
        <v>1040</v>
      </c>
      <c r="B683" s="18" t="s">
        <v>37</v>
      </c>
      <c r="C683" s="76" t="s">
        <v>828</v>
      </c>
      <c r="D683" s="45" t="s">
        <v>7039</v>
      </c>
      <c r="E683" s="78"/>
      <c r="F683" s="79"/>
      <c r="G683" s="80"/>
      <c r="H683" s="80"/>
      <c r="I683" s="78" t="s">
        <v>1044</v>
      </c>
      <c r="J683" s="79" t="s">
        <v>4813</v>
      </c>
      <c r="K683" s="81"/>
      <c r="L683" s="82">
        <v>41844</v>
      </c>
      <c r="M683" s="83">
        <v>41904</v>
      </c>
      <c r="N683" s="80">
        <v>26801.08</v>
      </c>
      <c r="O683" s="82"/>
      <c r="P683" s="84"/>
      <c r="Q683" s="80">
        <v>0</v>
      </c>
      <c r="R683" s="80">
        <v>26801.08</v>
      </c>
      <c r="S683" s="80"/>
      <c r="T683" s="81"/>
      <c r="U683" s="80"/>
      <c r="V683" s="80"/>
      <c r="W683" s="80"/>
      <c r="X683" s="80">
        <v>23228.67</v>
      </c>
      <c r="Y683" s="76" t="s">
        <v>1042</v>
      </c>
      <c r="Z683" s="19" t="s">
        <v>7038</v>
      </c>
      <c r="AA683" s="28"/>
      <c r="AB683" s="56"/>
      <c r="AC683" s="28"/>
      <c r="AD683" s="28"/>
      <c r="AE683" s="54"/>
      <c r="AF683" s="54"/>
      <c r="AG683" s="54"/>
      <c r="AH683" s="53"/>
      <c r="AI683" s="53" t="s">
        <v>1591</v>
      </c>
      <c r="AJ683" s="53" t="s">
        <v>1591</v>
      </c>
    </row>
    <row r="684" spans="1:36" s="3" customFormat="1" ht="60" x14ac:dyDescent="0.25">
      <c r="A684" s="35" t="s">
        <v>2866</v>
      </c>
      <c r="B684" s="18" t="s">
        <v>37</v>
      </c>
      <c r="C684" s="76"/>
      <c r="D684" s="43" t="s">
        <v>4837</v>
      </c>
      <c r="E684" s="78"/>
      <c r="F684" s="36" t="s">
        <v>43</v>
      </c>
      <c r="G684" s="80"/>
      <c r="H684" s="80"/>
      <c r="I684" s="36" t="s">
        <v>2867</v>
      </c>
      <c r="J684" s="34" t="s">
        <v>4838</v>
      </c>
      <c r="K684" s="37" t="s">
        <v>434</v>
      </c>
      <c r="L684" s="38">
        <v>41873</v>
      </c>
      <c r="M684" s="39">
        <v>42026</v>
      </c>
      <c r="N684" s="42">
        <v>242186.1</v>
      </c>
      <c r="O684" s="85"/>
      <c r="P684" s="86"/>
      <c r="Q684" s="41"/>
      <c r="R684" s="41">
        <v>242186.1</v>
      </c>
      <c r="S684" s="80"/>
      <c r="T684" s="81"/>
      <c r="U684" s="80"/>
      <c r="V684" s="80"/>
      <c r="W684" s="42"/>
      <c r="X684" s="42"/>
      <c r="Y684" s="34" t="s">
        <v>4321</v>
      </c>
      <c r="Z684" s="19" t="s">
        <v>7038</v>
      </c>
      <c r="AA684" s="28" t="s">
        <v>7640</v>
      </c>
      <c r="AB684" s="56">
        <v>43412</v>
      </c>
      <c r="AC684" s="28" t="s">
        <v>7641</v>
      </c>
      <c r="AD684" s="28" t="s">
        <v>7642</v>
      </c>
      <c r="AE684" s="54" t="s">
        <v>7643</v>
      </c>
      <c r="AF684" s="54"/>
      <c r="AG684" s="54" t="s">
        <v>7644</v>
      </c>
      <c r="AH684" s="53" t="s">
        <v>1591</v>
      </c>
      <c r="AI684" s="53" t="s">
        <v>2686</v>
      </c>
      <c r="AJ684" s="53" t="s">
        <v>1591</v>
      </c>
    </row>
    <row r="685" spans="1:36" s="3" customFormat="1" ht="96" x14ac:dyDescent="0.25">
      <c r="A685" s="17" t="s">
        <v>1045</v>
      </c>
      <c r="B685" s="18" t="s">
        <v>37</v>
      </c>
      <c r="C685" s="76" t="s">
        <v>721</v>
      </c>
      <c r="D685" s="45" t="s">
        <v>4839</v>
      </c>
      <c r="E685" s="78"/>
      <c r="F685" s="79"/>
      <c r="G685" s="80"/>
      <c r="H685" s="80"/>
      <c r="I685" s="78" t="s">
        <v>332</v>
      </c>
      <c r="J685" s="79" t="s">
        <v>1047</v>
      </c>
      <c r="K685" s="81" t="s">
        <v>54</v>
      </c>
      <c r="L685" s="82">
        <v>41955</v>
      </c>
      <c r="M685" s="83">
        <v>42105</v>
      </c>
      <c r="N685" s="80">
        <v>188310.36</v>
      </c>
      <c r="O685" s="82"/>
      <c r="P685" s="84" t="s">
        <v>4369</v>
      </c>
      <c r="Q685" s="80">
        <v>23906.149999999994</v>
      </c>
      <c r="R685" s="80">
        <v>212216.50999999998</v>
      </c>
      <c r="S685" s="80"/>
      <c r="T685" s="81" t="s">
        <v>52</v>
      </c>
      <c r="U685" s="80">
        <v>23906.15</v>
      </c>
      <c r="V685" s="80"/>
      <c r="W685" s="80"/>
      <c r="X685" s="80">
        <v>175897.77</v>
      </c>
      <c r="Y685" s="76" t="s">
        <v>33</v>
      </c>
      <c r="Z685" s="19" t="s">
        <v>7038</v>
      </c>
      <c r="AA685" s="28" t="s">
        <v>7640</v>
      </c>
      <c r="AB685" s="56">
        <v>43412</v>
      </c>
      <c r="AC685" s="28" t="s">
        <v>7641</v>
      </c>
      <c r="AD685" s="28" t="s">
        <v>7642</v>
      </c>
      <c r="AE685" s="54" t="s">
        <v>7645</v>
      </c>
      <c r="AF685" s="54"/>
      <c r="AG685" s="54" t="s">
        <v>7646</v>
      </c>
      <c r="AH685" s="53" t="s">
        <v>1591</v>
      </c>
      <c r="AI685" s="53" t="s">
        <v>2686</v>
      </c>
      <c r="AJ685" s="53" t="s">
        <v>1591</v>
      </c>
    </row>
    <row r="686" spans="1:36" s="3" customFormat="1" ht="84" x14ac:dyDescent="0.25">
      <c r="A686" s="17" t="s">
        <v>1045</v>
      </c>
      <c r="B686" s="18" t="s">
        <v>37</v>
      </c>
      <c r="C686" s="76" t="s">
        <v>1048</v>
      </c>
      <c r="D686" s="45" t="s">
        <v>1049</v>
      </c>
      <c r="E686" s="78"/>
      <c r="F686" s="79"/>
      <c r="G686" s="80"/>
      <c r="H686" s="80"/>
      <c r="I686" s="78" t="s">
        <v>1050</v>
      </c>
      <c r="J686" s="79" t="s">
        <v>1051</v>
      </c>
      <c r="K686" s="81" t="s">
        <v>220</v>
      </c>
      <c r="L686" s="82"/>
      <c r="M686" s="83">
        <v>120</v>
      </c>
      <c r="N686" s="80">
        <v>127233.81</v>
      </c>
      <c r="O686" s="82"/>
      <c r="P686" s="84"/>
      <c r="Q686" s="80">
        <v>0</v>
      </c>
      <c r="R686" s="80">
        <v>127233.81</v>
      </c>
      <c r="S686" s="80"/>
      <c r="T686" s="81" t="s">
        <v>52</v>
      </c>
      <c r="U686" s="80">
        <v>127233.81</v>
      </c>
      <c r="V686" s="80"/>
      <c r="W686" s="80"/>
      <c r="X686" s="80">
        <v>127233.81</v>
      </c>
      <c r="Y686" s="76" t="s">
        <v>33</v>
      </c>
      <c r="Z686" s="19" t="s">
        <v>7038</v>
      </c>
      <c r="AA686" s="28" t="s">
        <v>7640</v>
      </c>
      <c r="AB686" s="56">
        <v>43412</v>
      </c>
      <c r="AC686" s="28" t="s">
        <v>7641</v>
      </c>
      <c r="AD686" s="28" t="s">
        <v>7642</v>
      </c>
      <c r="AE686" s="54" t="s">
        <v>7647</v>
      </c>
      <c r="AF686" s="54"/>
      <c r="AG686" s="54" t="s">
        <v>7648</v>
      </c>
      <c r="AH686" s="53" t="s">
        <v>1591</v>
      </c>
      <c r="AI686" s="53" t="s">
        <v>2686</v>
      </c>
      <c r="AJ686" s="53" t="s">
        <v>1591</v>
      </c>
    </row>
    <row r="687" spans="1:36" s="3" customFormat="1" ht="84" x14ac:dyDescent="0.25">
      <c r="A687" s="17" t="s">
        <v>1053</v>
      </c>
      <c r="B687" s="18" t="s">
        <v>1057</v>
      </c>
      <c r="C687" s="76" t="s">
        <v>673</v>
      </c>
      <c r="D687" s="45" t="s">
        <v>4856</v>
      </c>
      <c r="E687" s="78" t="s">
        <v>670</v>
      </c>
      <c r="F687" s="79" t="s">
        <v>4857</v>
      </c>
      <c r="G687" s="80">
        <v>13988.32</v>
      </c>
      <c r="H687" s="80"/>
      <c r="I687" s="78" t="s">
        <v>4858</v>
      </c>
      <c r="J687" s="79" t="s">
        <v>4857</v>
      </c>
      <c r="K687" s="81" t="s">
        <v>4859</v>
      </c>
      <c r="L687" s="82">
        <v>42535</v>
      </c>
      <c r="M687" s="83">
        <v>42565</v>
      </c>
      <c r="N687" s="80">
        <v>13988.32</v>
      </c>
      <c r="O687" s="82">
        <v>42599</v>
      </c>
      <c r="P687" s="84"/>
      <c r="Q687" s="80">
        <v>0</v>
      </c>
      <c r="R687" s="80">
        <v>13988.32</v>
      </c>
      <c r="S687" s="80"/>
      <c r="T687" s="81" t="s">
        <v>211</v>
      </c>
      <c r="U687" s="80"/>
      <c r="V687" s="80"/>
      <c r="W687" s="80"/>
      <c r="X687" s="80"/>
      <c r="Y687" s="76" t="s">
        <v>844</v>
      </c>
      <c r="Z687" s="19" t="s">
        <v>7038</v>
      </c>
      <c r="AA687" s="28" t="s">
        <v>8447</v>
      </c>
      <c r="AB687" s="56">
        <v>43409</v>
      </c>
      <c r="AC687" s="28" t="s">
        <v>7649</v>
      </c>
      <c r="AD687" s="28" t="s">
        <v>7650</v>
      </c>
      <c r="AE687" s="54" t="s">
        <v>7651</v>
      </c>
      <c r="AF687" s="54"/>
      <c r="AG687" s="54" t="s">
        <v>7652</v>
      </c>
      <c r="AH687" s="53" t="s">
        <v>1591</v>
      </c>
      <c r="AI687" s="53" t="s">
        <v>2686</v>
      </c>
      <c r="AJ687" s="53" t="s">
        <v>1591</v>
      </c>
    </row>
    <row r="688" spans="1:36" s="3" customFormat="1" ht="60" x14ac:dyDescent="0.25">
      <c r="A688" s="35" t="s">
        <v>1053</v>
      </c>
      <c r="B688" s="18" t="s">
        <v>37</v>
      </c>
      <c r="C688" s="19" t="s">
        <v>3450</v>
      </c>
      <c r="D688" s="45" t="s">
        <v>2786</v>
      </c>
      <c r="E688" s="50" t="s">
        <v>218</v>
      </c>
      <c r="F688" s="58" t="s">
        <v>889</v>
      </c>
      <c r="G688" s="51">
        <v>6000000</v>
      </c>
      <c r="H688" s="51">
        <v>600000</v>
      </c>
      <c r="I688" s="50" t="s">
        <v>2443</v>
      </c>
      <c r="J688" s="58" t="s">
        <v>2787</v>
      </c>
      <c r="K688" s="52" t="s">
        <v>1207</v>
      </c>
      <c r="L688" s="59">
        <v>41643</v>
      </c>
      <c r="M688" s="60">
        <f>L688+360</f>
        <v>42003</v>
      </c>
      <c r="N688" s="51">
        <v>15020776.689999999</v>
      </c>
      <c r="O688" s="59">
        <v>42090</v>
      </c>
      <c r="P688" s="59">
        <f>M688+602</f>
        <v>42605</v>
      </c>
      <c r="Q688" s="51">
        <v>3735568.46</v>
      </c>
      <c r="R688" s="51">
        <f>N688+Q688</f>
        <v>18756345.149999999</v>
      </c>
      <c r="S688" s="51"/>
      <c r="T688" s="52">
        <v>449051</v>
      </c>
      <c r="U688" s="51">
        <v>7223041.1299999999</v>
      </c>
      <c r="V688" s="51"/>
      <c r="W688" s="51"/>
      <c r="X688" s="51">
        <v>7223041.1299999999</v>
      </c>
      <c r="Y688" s="19" t="s">
        <v>3929</v>
      </c>
      <c r="Z688" s="19"/>
      <c r="AA688" s="28" t="s">
        <v>8358</v>
      </c>
      <c r="AB688" s="56">
        <v>43427</v>
      </c>
      <c r="AC688" s="28" t="s">
        <v>8359</v>
      </c>
      <c r="AD688" s="28" t="s">
        <v>8360</v>
      </c>
      <c r="AE688" s="54"/>
      <c r="AF688" s="54"/>
      <c r="AG688" s="54" t="s">
        <v>8363</v>
      </c>
      <c r="AH688" s="53" t="s">
        <v>1591</v>
      </c>
      <c r="AI688" s="53" t="s">
        <v>2686</v>
      </c>
      <c r="AJ688" s="53" t="s">
        <v>1591</v>
      </c>
    </row>
    <row r="689" spans="1:36" s="3" customFormat="1" ht="60" x14ac:dyDescent="0.25">
      <c r="A689" s="35" t="s">
        <v>1053</v>
      </c>
      <c r="B689" s="18" t="s">
        <v>37</v>
      </c>
      <c r="C689" s="19" t="s">
        <v>3445</v>
      </c>
      <c r="D689" s="45" t="s">
        <v>2788</v>
      </c>
      <c r="E689" s="50" t="s">
        <v>3738</v>
      </c>
      <c r="F689" s="58" t="s">
        <v>2603</v>
      </c>
      <c r="G689" s="51">
        <v>9245700</v>
      </c>
      <c r="H689" s="51">
        <v>754300</v>
      </c>
      <c r="I689" s="50" t="s">
        <v>1064</v>
      </c>
      <c r="J689" s="58" t="s">
        <v>2789</v>
      </c>
      <c r="K689" s="52" t="s">
        <v>1105</v>
      </c>
      <c r="L689" s="59">
        <v>42156</v>
      </c>
      <c r="M689" s="60">
        <f>L689+360</f>
        <v>42516</v>
      </c>
      <c r="N689" s="51">
        <v>10688004.539999999</v>
      </c>
      <c r="O689" s="59">
        <v>42516</v>
      </c>
      <c r="P689" s="59">
        <f>M689+360</f>
        <v>42876</v>
      </c>
      <c r="Q689" s="51">
        <v>-2465146.7999999998</v>
      </c>
      <c r="R689" s="51">
        <f>N689+Q689</f>
        <v>8222857.7399999993</v>
      </c>
      <c r="S689" s="51"/>
      <c r="T689" s="52">
        <v>449051</v>
      </c>
      <c r="U689" s="51">
        <v>3466422.64</v>
      </c>
      <c r="V689" s="51">
        <v>340994.64</v>
      </c>
      <c r="W689" s="51"/>
      <c r="X689" s="51">
        <v>2951974.22</v>
      </c>
      <c r="Y689" s="19" t="s">
        <v>202</v>
      </c>
      <c r="Z689" s="19"/>
      <c r="AA689" s="28" t="s">
        <v>8358</v>
      </c>
      <c r="AB689" s="56">
        <v>43427</v>
      </c>
      <c r="AC689" s="28" t="s">
        <v>8359</v>
      </c>
      <c r="AD689" s="28" t="s">
        <v>8360</v>
      </c>
      <c r="AE689" s="54" t="s">
        <v>8362</v>
      </c>
      <c r="AF689" s="54"/>
      <c r="AG689" s="54" t="s">
        <v>8361</v>
      </c>
      <c r="AH689" s="53" t="s">
        <v>1591</v>
      </c>
      <c r="AI689" s="53" t="s">
        <v>2686</v>
      </c>
      <c r="AJ689" s="53" t="s">
        <v>1591</v>
      </c>
    </row>
    <row r="690" spans="1:36" s="3" customFormat="1" ht="60" x14ac:dyDescent="0.25">
      <c r="A690" s="17" t="s">
        <v>1053</v>
      </c>
      <c r="B690" s="18" t="s">
        <v>37</v>
      </c>
      <c r="C690" s="76" t="s">
        <v>4853</v>
      </c>
      <c r="D690" s="45" t="s">
        <v>4860</v>
      </c>
      <c r="E690" s="78" t="s">
        <v>4841</v>
      </c>
      <c r="F690" s="79" t="s">
        <v>70</v>
      </c>
      <c r="G690" s="80">
        <v>6122831.8300000001</v>
      </c>
      <c r="H690" s="80">
        <v>0</v>
      </c>
      <c r="I690" s="78" t="s">
        <v>4851</v>
      </c>
      <c r="J690" s="79" t="s">
        <v>4852</v>
      </c>
      <c r="K690" s="81" t="s">
        <v>4854</v>
      </c>
      <c r="L690" s="82">
        <v>41544</v>
      </c>
      <c r="M690" s="83">
        <v>41909</v>
      </c>
      <c r="N690" s="80">
        <v>5591821.6900000004</v>
      </c>
      <c r="O690" s="82"/>
      <c r="P690" s="84" t="s">
        <v>4322</v>
      </c>
      <c r="Q690" s="80">
        <v>0</v>
      </c>
      <c r="R690" s="80">
        <v>5591821.6900000004</v>
      </c>
      <c r="S690" s="80">
        <v>0</v>
      </c>
      <c r="T690" s="81" t="s">
        <v>211</v>
      </c>
      <c r="U690" s="80"/>
      <c r="V690" s="80"/>
      <c r="W690" s="80"/>
      <c r="X690" s="80">
        <v>1176670.3600000001</v>
      </c>
      <c r="Y690" s="76" t="s">
        <v>157</v>
      </c>
      <c r="Z690" s="19" t="s">
        <v>7038</v>
      </c>
      <c r="AA690" s="28" t="s">
        <v>8358</v>
      </c>
      <c r="AB690" s="56">
        <v>43427</v>
      </c>
      <c r="AC690" s="28" t="s">
        <v>8359</v>
      </c>
      <c r="AD690" s="28" t="s">
        <v>8360</v>
      </c>
      <c r="AE690" s="54"/>
      <c r="AF690" s="54"/>
      <c r="AG690" s="54"/>
      <c r="AH690" s="53"/>
      <c r="AI690" s="53" t="s">
        <v>1591</v>
      </c>
      <c r="AJ690" s="53" t="s">
        <v>1591</v>
      </c>
    </row>
    <row r="691" spans="1:36" s="3" customFormat="1" ht="48" x14ac:dyDescent="0.25">
      <c r="A691" s="35" t="s">
        <v>1053</v>
      </c>
      <c r="B691" s="18" t="s">
        <v>37</v>
      </c>
      <c r="C691" s="19" t="s">
        <v>3448</v>
      </c>
      <c r="D691" s="45" t="s">
        <v>3449</v>
      </c>
      <c r="E691" s="50"/>
      <c r="F691" s="58" t="s">
        <v>3740</v>
      </c>
      <c r="G691" s="51">
        <v>4432702.3</v>
      </c>
      <c r="H691" s="51">
        <v>831497.41</v>
      </c>
      <c r="I691" s="50" t="s">
        <v>842</v>
      </c>
      <c r="J691" s="58" t="s">
        <v>2322</v>
      </c>
      <c r="K691" s="52" t="s">
        <v>1030</v>
      </c>
      <c r="L691" s="59">
        <v>42142</v>
      </c>
      <c r="M691" s="60">
        <f>L691+180</f>
        <v>42322</v>
      </c>
      <c r="N691" s="51">
        <v>4724011.55</v>
      </c>
      <c r="O691" s="59">
        <v>42575</v>
      </c>
      <c r="P691" s="59">
        <f>M691+360</f>
        <v>42682</v>
      </c>
      <c r="Q691" s="51">
        <v>242626.21</v>
      </c>
      <c r="R691" s="51">
        <f>N691+Q691</f>
        <v>4966637.76</v>
      </c>
      <c r="S691" s="51"/>
      <c r="T691" s="52">
        <v>449051</v>
      </c>
      <c r="U691" s="51">
        <v>4260949.82</v>
      </c>
      <c r="V691" s="51"/>
      <c r="W691" s="51"/>
      <c r="X691" s="51">
        <v>2960896.56</v>
      </c>
      <c r="Y691" s="19" t="s">
        <v>202</v>
      </c>
      <c r="Z691" s="19"/>
      <c r="AA691" s="28" t="s">
        <v>8358</v>
      </c>
      <c r="AB691" s="56">
        <v>43427</v>
      </c>
      <c r="AC691" s="28" t="s">
        <v>8359</v>
      </c>
      <c r="AD691" s="28" t="s">
        <v>8360</v>
      </c>
      <c r="AE691" s="54"/>
      <c r="AF691" s="54"/>
      <c r="AG691" s="54" t="s">
        <v>8366</v>
      </c>
      <c r="AH691" s="53" t="s">
        <v>1591</v>
      </c>
      <c r="AI691" s="53" t="s">
        <v>2686</v>
      </c>
      <c r="AJ691" s="53" t="s">
        <v>1591</v>
      </c>
    </row>
    <row r="692" spans="1:36" s="3" customFormat="1" ht="84" x14ac:dyDescent="0.25">
      <c r="A692" s="35" t="s">
        <v>1053</v>
      </c>
      <c r="B692" s="18" t="s">
        <v>37</v>
      </c>
      <c r="C692" s="19" t="s">
        <v>3446</v>
      </c>
      <c r="D692" s="45" t="s">
        <v>3447</v>
      </c>
      <c r="E692" s="50" t="s">
        <v>3739</v>
      </c>
      <c r="F692" s="58" t="s">
        <v>2603</v>
      </c>
      <c r="G692" s="51">
        <v>3954600</v>
      </c>
      <c r="H692" s="51">
        <v>343878.26</v>
      </c>
      <c r="I692" s="50" t="s">
        <v>818</v>
      </c>
      <c r="J692" s="58" t="s">
        <v>819</v>
      </c>
      <c r="K692" s="52" t="s">
        <v>861</v>
      </c>
      <c r="L692" s="59">
        <v>42621</v>
      </c>
      <c r="M692" s="60">
        <f>L692+360</f>
        <v>42981</v>
      </c>
      <c r="N692" s="51">
        <v>3874373.5</v>
      </c>
      <c r="O692" s="59">
        <v>42980</v>
      </c>
      <c r="P692" s="59">
        <v>0</v>
      </c>
      <c r="Q692" s="51">
        <v>962527.49</v>
      </c>
      <c r="R692" s="51">
        <f>N692+Q692</f>
        <v>4836900.99</v>
      </c>
      <c r="S692" s="51"/>
      <c r="T692" s="52">
        <v>449051</v>
      </c>
      <c r="U692" s="51">
        <v>1648748.49</v>
      </c>
      <c r="V692" s="51"/>
      <c r="W692" s="51"/>
      <c r="X692" s="51">
        <v>962527.49</v>
      </c>
      <c r="Y692" s="19" t="s">
        <v>202</v>
      </c>
      <c r="Z692" s="19"/>
      <c r="AA692" s="28" t="s">
        <v>8358</v>
      </c>
      <c r="AB692" s="56">
        <v>43427</v>
      </c>
      <c r="AC692" s="28" t="s">
        <v>8359</v>
      </c>
      <c r="AD692" s="28" t="s">
        <v>8360</v>
      </c>
      <c r="AE692" s="54" t="s">
        <v>8367</v>
      </c>
      <c r="AF692" s="54"/>
      <c r="AG692" s="54" t="s">
        <v>1622</v>
      </c>
      <c r="AH692" s="53" t="s">
        <v>1591</v>
      </c>
      <c r="AI692" s="53" t="s">
        <v>2686</v>
      </c>
      <c r="AJ692" s="53" t="s">
        <v>1591</v>
      </c>
    </row>
    <row r="693" spans="1:36" s="3" customFormat="1" ht="60" x14ac:dyDescent="0.25">
      <c r="A693" s="17" t="s">
        <v>1053</v>
      </c>
      <c r="B693" s="18" t="s">
        <v>37</v>
      </c>
      <c r="C693" s="76" t="s">
        <v>4850</v>
      </c>
      <c r="D693" s="45" t="s">
        <v>4861</v>
      </c>
      <c r="E693" s="78" t="s">
        <v>4840</v>
      </c>
      <c r="F693" s="79" t="s">
        <v>70</v>
      </c>
      <c r="G693" s="80">
        <v>1976000</v>
      </c>
      <c r="H693" s="80">
        <v>670582.87</v>
      </c>
      <c r="I693" s="78" t="s">
        <v>4851</v>
      </c>
      <c r="J693" s="79" t="s">
        <v>4852</v>
      </c>
      <c r="K693" s="81" t="s">
        <v>928</v>
      </c>
      <c r="L693" s="82">
        <v>41540</v>
      </c>
      <c r="M693" s="83">
        <v>41905</v>
      </c>
      <c r="N693" s="80">
        <v>2328338.7000000002</v>
      </c>
      <c r="O693" s="82"/>
      <c r="P693" s="84" t="s">
        <v>4322</v>
      </c>
      <c r="Q693" s="80">
        <v>0</v>
      </c>
      <c r="R693" s="80">
        <v>2328338.7000000002</v>
      </c>
      <c r="S693" s="80">
        <v>0</v>
      </c>
      <c r="T693" s="81" t="s">
        <v>211</v>
      </c>
      <c r="U693" s="80"/>
      <c r="V693" s="80"/>
      <c r="W693" s="80"/>
      <c r="X693" s="80">
        <v>975792.94</v>
      </c>
      <c r="Y693" s="76" t="s">
        <v>157</v>
      </c>
      <c r="Z693" s="19" t="s">
        <v>7038</v>
      </c>
      <c r="AA693" s="28" t="s">
        <v>8358</v>
      </c>
      <c r="AB693" s="56">
        <v>43427</v>
      </c>
      <c r="AC693" s="28" t="s">
        <v>8359</v>
      </c>
      <c r="AD693" s="28" t="s">
        <v>8360</v>
      </c>
      <c r="AE693" s="54"/>
      <c r="AF693" s="54"/>
      <c r="AG693" s="54"/>
      <c r="AH693" s="53"/>
      <c r="AI693" s="53" t="s">
        <v>1591</v>
      </c>
      <c r="AJ693" s="53" t="s">
        <v>1591</v>
      </c>
    </row>
    <row r="694" spans="1:36" s="3" customFormat="1" ht="60" x14ac:dyDescent="0.25">
      <c r="A694" s="17" t="s">
        <v>1053</v>
      </c>
      <c r="B694" s="18" t="s">
        <v>37</v>
      </c>
      <c r="C694" s="76" t="s">
        <v>4862</v>
      </c>
      <c r="D694" s="45" t="s">
        <v>4863</v>
      </c>
      <c r="E694" s="78" t="s">
        <v>4864</v>
      </c>
      <c r="F694" s="79" t="s">
        <v>70</v>
      </c>
      <c r="G694" s="80">
        <v>7246385</v>
      </c>
      <c r="H694" s="80">
        <v>0</v>
      </c>
      <c r="I694" s="78" t="s">
        <v>892</v>
      </c>
      <c r="J694" s="79" t="s">
        <v>4865</v>
      </c>
      <c r="K694" s="81" t="s">
        <v>911</v>
      </c>
      <c r="L694" s="82">
        <v>41970</v>
      </c>
      <c r="M694" s="83">
        <v>42335</v>
      </c>
      <c r="N694" s="80">
        <v>1316303.1399999999</v>
      </c>
      <c r="O694" s="82"/>
      <c r="P694" s="84" t="s">
        <v>4866</v>
      </c>
      <c r="Q694" s="80">
        <v>0</v>
      </c>
      <c r="R694" s="80">
        <v>1316303.1399999999</v>
      </c>
      <c r="S694" s="80">
        <v>0</v>
      </c>
      <c r="T694" s="81" t="s">
        <v>211</v>
      </c>
      <c r="U694" s="80">
        <v>123308.6</v>
      </c>
      <c r="V694" s="80"/>
      <c r="W694" s="80"/>
      <c r="X694" s="80">
        <v>520513.87</v>
      </c>
      <c r="Y694" s="76" t="s">
        <v>157</v>
      </c>
      <c r="Z694" s="19" t="s">
        <v>7038</v>
      </c>
      <c r="AA694" s="28" t="s">
        <v>8358</v>
      </c>
      <c r="AB694" s="56">
        <v>43427</v>
      </c>
      <c r="AC694" s="28" t="s">
        <v>8359</v>
      </c>
      <c r="AD694" s="28" t="s">
        <v>8360</v>
      </c>
      <c r="AE694" s="54"/>
      <c r="AF694" s="54"/>
      <c r="AG694" s="54"/>
      <c r="AH694" s="53"/>
      <c r="AI694" s="53" t="s">
        <v>1591</v>
      </c>
      <c r="AJ694" s="53" t="s">
        <v>1591</v>
      </c>
    </row>
    <row r="695" spans="1:36" s="3" customFormat="1" ht="48" x14ac:dyDescent="0.25">
      <c r="A695" s="17" t="s">
        <v>1053</v>
      </c>
      <c r="B695" s="18" t="s">
        <v>37</v>
      </c>
      <c r="C695" s="76" t="s">
        <v>4847</v>
      </c>
      <c r="D695" s="77" t="s">
        <v>4867</v>
      </c>
      <c r="E695" s="78"/>
      <c r="F695" s="79"/>
      <c r="G695" s="80"/>
      <c r="H695" s="80"/>
      <c r="I695" s="78" t="s">
        <v>4848</v>
      </c>
      <c r="J695" s="79" t="s">
        <v>4849</v>
      </c>
      <c r="K695" s="81" t="s">
        <v>123</v>
      </c>
      <c r="L695" s="82">
        <v>42621</v>
      </c>
      <c r="M695" s="83">
        <v>42681</v>
      </c>
      <c r="N695" s="80">
        <v>1311441.21</v>
      </c>
      <c r="O695" s="82"/>
      <c r="P695" s="84"/>
      <c r="Q695" s="80">
        <v>0</v>
      </c>
      <c r="R695" s="80">
        <v>1311441.21</v>
      </c>
      <c r="S695" s="80">
        <v>0</v>
      </c>
      <c r="T695" s="81" t="s">
        <v>211</v>
      </c>
      <c r="U695" s="80">
        <v>580492.02</v>
      </c>
      <c r="V695" s="80"/>
      <c r="W695" s="80"/>
      <c r="X695" s="80">
        <v>580492.02</v>
      </c>
      <c r="Y695" s="76" t="s">
        <v>498</v>
      </c>
      <c r="Z695" s="19" t="s">
        <v>7038</v>
      </c>
      <c r="AA695" s="28" t="s">
        <v>8358</v>
      </c>
      <c r="AB695" s="56">
        <v>43427</v>
      </c>
      <c r="AC695" s="28" t="s">
        <v>8359</v>
      </c>
      <c r="AD695" s="28" t="s">
        <v>8360</v>
      </c>
      <c r="AE695" s="54"/>
      <c r="AF695" s="54"/>
      <c r="AG695" s="54"/>
      <c r="AH695" s="53"/>
      <c r="AI695" s="53" t="s">
        <v>1591</v>
      </c>
      <c r="AJ695" s="53" t="s">
        <v>1591</v>
      </c>
    </row>
    <row r="696" spans="1:36" s="3" customFormat="1" ht="36" x14ac:dyDescent="0.25">
      <c r="A696" s="35" t="s">
        <v>2785</v>
      </c>
      <c r="B696" s="18" t="s">
        <v>37</v>
      </c>
      <c r="C696" s="76"/>
      <c r="D696" s="43" t="s">
        <v>4868</v>
      </c>
      <c r="E696" s="78"/>
      <c r="F696" s="36"/>
      <c r="G696" s="80"/>
      <c r="H696" s="80"/>
      <c r="I696" s="36" t="s">
        <v>653</v>
      </c>
      <c r="J696" s="34" t="s">
        <v>4869</v>
      </c>
      <c r="K696" s="37" t="s">
        <v>1174</v>
      </c>
      <c r="L696" s="38">
        <v>41610</v>
      </c>
      <c r="M696" s="39">
        <v>41970</v>
      </c>
      <c r="N696" s="42">
        <v>938867.7</v>
      </c>
      <c r="O696" s="85">
        <v>41970</v>
      </c>
      <c r="P696" s="86">
        <v>42330</v>
      </c>
      <c r="Q696" s="41">
        <v>220941.92</v>
      </c>
      <c r="R696" s="41">
        <v>1159809.6199999999</v>
      </c>
      <c r="S696" s="80"/>
      <c r="T696" s="81"/>
      <c r="U696" s="80"/>
      <c r="V696" s="80"/>
      <c r="W696" s="42"/>
      <c r="X696" s="42">
        <v>1006127.48</v>
      </c>
      <c r="Y696" s="34" t="s">
        <v>4321</v>
      </c>
      <c r="Z696" s="19" t="s">
        <v>7038</v>
      </c>
      <c r="AA696" s="28" t="s">
        <v>8358</v>
      </c>
      <c r="AB696" s="56">
        <v>43427</v>
      </c>
      <c r="AC696" s="28" t="s">
        <v>8359</v>
      </c>
      <c r="AD696" s="28" t="s">
        <v>8360</v>
      </c>
      <c r="AE696" s="54"/>
      <c r="AF696" s="54"/>
      <c r="AG696" s="54" t="s">
        <v>8368</v>
      </c>
      <c r="AH696" s="53" t="s">
        <v>1591</v>
      </c>
      <c r="AI696" s="53" t="s">
        <v>2686</v>
      </c>
      <c r="AJ696" s="53" t="s">
        <v>1591</v>
      </c>
    </row>
    <row r="697" spans="1:36" s="3" customFormat="1" ht="36" x14ac:dyDescent="0.25">
      <c r="A697" s="17" t="s">
        <v>1053</v>
      </c>
      <c r="B697" s="18" t="s">
        <v>37</v>
      </c>
      <c r="C697" s="76" t="s">
        <v>4842</v>
      </c>
      <c r="D697" s="45" t="s">
        <v>4870</v>
      </c>
      <c r="E697" s="78" t="s">
        <v>427</v>
      </c>
      <c r="F697" s="79" t="s">
        <v>4843</v>
      </c>
      <c r="G697" s="80">
        <v>400015.15</v>
      </c>
      <c r="H697" s="80">
        <v>0</v>
      </c>
      <c r="I697" s="78" t="s">
        <v>4844</v>
      </c>
      <c r="J697" s="79" t="s">
        <v>4845</v>
      </c>
      <c r="K697" s="81" t="s">
        <v>4846</v>
      </c>
      <c r="L697" s="82">
        <v>41134</v>
      </c>
      <c r="M697" s="83">
        <v>41314</v>
      </c>
      <c r="N697" s="80">
        <v>400015.15</v>
      </c>
      <c r="O697" s="82">
        <v>42597</v>
      </c>
      <c r="P697" s="84" t="s">
        <v>4871</v>
      </c>
      <c r="Q697" s="80">
        <v>0</v>
      </c>
      <c r="R697" s="80">
        <v>400015.15</v>
      </c>
      <c r="S697" s="80">
        <v>0</v>
      </c>
      <c r="T697" s="81" t="s">
        <v>211</v>
      </c>
      <c r="U697" s="80"/>
      <c r="V697" s="80"/>
      <c r="W697" s="80"/>
      <c r="X697" s="80">
        <v>164244.74</v>
      </c>
      <c r="Y697" s="76" t="s">
        <v>498</v>
      </c>
      <c r="Z697" s="19" t="s">
        <v>7038</v>
      </c>
      <c r="AA697" s="28" t="s">
        <v>8358</v>
      </c>
      <c r="AB697" s="56">
        <v>43427</v>
      </c>
      <c r="AC697" s="28" t="s">
        <v>8359</v>
      </c>
      <c r="AD697" s="28" t="s">
        <v>8360</v>
      </c>
      <c r="AE697" s="54"/>
      <c r="AF697" s="54"/>
      <c r="AG697" s="54"/>
      <c r="AH697" s="53"/>
      <c r="AI697" s="53" t="s">
        <v>1591</v>
      </c>
      <c r="AJ697" s="53" t="s">
        <v>1591</v>
      </c>
    </row>
    <row r="698" spans="1:36" s="3" customFormat="1" ht="72" x14ac:dyDescent="0.25">
      <c r="A698" s="35" t="s">
        <v>2785</v>
      </c>
      <c r="B698" s="18" t="s">
        <v>37</v>
      </c>
      <c r="C698" s="76"/>
      <c r="D698" s="43" t="s">
        <v>4872</v>
      </c>
      <c r="E698" s="78"/>
      <c r="F698" s="36"/>
      <c r="G698" s="80"/>
      <c r="H698" s="80"/>
      <c r="I698" s="36" t="s">
        <v>4873</v>
      </c>
      <c r="J698" s="34" t="s">
        <v>4874</v>
      </c>
      <c r="K698" s="37" t="s">
        <v>4875</v>
      </c>
      <c r="L698" s="38">
        <v>41604</v>
      </c>
      <c r="M698" s="39">
        <v>41964</v>
      </c>
      <c r="N698" s="42">
        <v>324942.58</v>
      </c>
      <c r="O698" s="85">
        <v>41964</v>
      </c>
      <c r="P698" s="86">
        <v>41964</v>
      </c>
      <c r="Q698" s="41"/>
      <c r="R698" s="41">
        <v>324942.58</v>
      </c>
      <c r="S698" s="80"/>
      <c r="T698" s="81"/>
      <c r="U698" s="80"/>
      <c r="V698" s="80"/>
      <c r="W698" s="42"/>
      <c r="X698" s="42">
        <v>145389.54999999999</v>
      </c>
      <c r="Y698" s="34" t="s">
        <v>4321</v>
      </c>
      <c r="Z698" s="19" t="s">
        <v>7038</v>
      </c>
      <c r="AA698" s="28" t="s">
        <v>8358</v>
      </c>
      <c r="AB698" s="56">
        <v>43427</v>
      </c>
      <c r="AC698" s="28" t="s">
        <v>8359</v>
      </c>
      <c r="AD698" s="28" t="s">
        <v>8360</v>
      </c>
      <c r="AE698" s="54"/>
      <c r="AF698" s="54"/>
      <c r="AG698" s="54" t="s">
        <v>8368</v>
      </c>
      <c r="AH698" s="53" t="s">
        <v>1591</v>
      </c>
      <c r="AI698" s="53" t="s">
        <v>2686</v>
      </c>
      <c r="AJ698" s="53" t="s">
        <v>1591</v>
      </c>
    </row>
    <row r="699" spans="1:36" s="3" customFormat="1" ht="36" x14ac:dyDescent="0.25">
      <c r="A699" s="35" t="s">
        <v>2785</v>
      </c>
      <c r="B699" s="18" t="s">
        <v>37</v>
      </c>
      <c r="C699" s="76"/>
      <c r="D699" s="43" t="s">
        <v>4876</v>
      </c>
      <c r="E699" s="78"/>
      <c r="F699" s="36" t="s">
        <v>2603</v>
      </c>
      <c r="G699" s="80"/>
      <c r="H699" s="80"/>
      <c r="I699" s="36" t="s">
        <v>4877</v>
      </c>
      <c r="J699" s="34" t="s">
        <v>4878</v>
      </c>
      <c r="K699" s="37" t="s">
        <v>1581</v>
      </c>
      <c r="L699" s="38">
        <v>42177</v>
      </c>
      <c r="M699" s="39">
        <v>42537</v>
      </c>
      <c r="N699" s="42">
        <v>289906.63</v>
      </c>
      <c r="O699" s="85"/>
      <c r="P699" s="86">
        <v>42537</v>
      </c>
      <c r="Q699" s="41"/>
      <c r="R699" s="41">
        <v>289906.63</v>
      </c>
      <c r="S699" s="80"/>
      <c r="T699" s="81"/>
      <c r="U699" s="80"/>
      <c r="V699" s="80"/>
      <c r="W699" s="42"/>
      <c r="X699" s="42"/>
      <c r="Y699" s="34" t="s">
        <v>4321</v>
      </c>
      <c r="Z699" s="19" t="s">
        <v>7038</v>
      </c>
      <c r="AA699" s="28" t="s">
        <v>8358</v>
      </c>
      <c r="AB699" s="56">
        <v>43427</v>
      </c>
      <c r="AC699" s="28" t="s">
        <v>8359</v>
      </c>
      <c r="AD699" s="28" t="s">
        <v>8360</v>
      </c>
      <c r="AE699" s="54"/>
      <c r="AF699" s="54"/>
      <c r="AG699" s="54" t="s">
        <v>8368</v>
      </c>
      <c r="AH699" s="53" t="s">
        <v>1591</v>
      </c>
      <c r="AI699" s="53" t="s">
        <v>2686</v>
      </c>
      <c r="AJ699" s="53" t="s">
        <v>1591</v>
      </c>
    </row>
    <row r="700" spans="1:36" s="3" customFormat="1" ht="108" x14ac:dyDescent="0.25">
      <c r="A700" s="17" t="s">
        <v>1053</v>
      </c>
      <c r="B700" s="18" t="s">
        <v>37</v>
      </c>
      <c r="C700" s="19" t="s">
        <v>3451</v>
      </c>
      <c r="D700" s="45" t="s">
        <v>3452</v>
      </c>
      <c r="E700" s="50"/>
      <c r="F700" s="58" t="s">
        <v>722</v>
      </c>
      <c r="G700" s="51"/>
      <c r="H700" s="51"/>
      <c r="I700" s="50" t="s">
        <v>1296</v>
      </c>
      <c r="J700" s="58" t="s">
        <v>3741</v>
      </c>
      <c r="K700" s="52" t="s">
        <v>2899</v>
      </c>
      <c r="L700" s="59">
        <v>42927</v>
      </c>
      <c r="M700" s="60">
        <f>L700+90</f>
        <v>43017</v>
      </c>
      <c r="N700" s="51">
        <v>114219.06</v>
      </c>
      <c r="O700" s="59">
        <v>42832</v>
      </c>
      <c r="P700" s="59">
        <f>M700+90</f>
        <v>43107</v>
      </c>
      <c r="Q700" s="51">
        <v>35259.01</v>
      </c>
      <c r="R700" s="51">
        <f>N700+Q700</f>
        <v>149478.07</v>
      </c>
      <c r="S700" s="51"/>
      <c r="T700" s="52"/>
      <c r="U700" s="51">
        <v>14390.5</v>
      </c>
      <c r="V700" s="51">
        <v>14390.5</v>
      </c>
      <c r="W700" s="51"/>
      <c r="X700" s="51">
        <v>14390.5</v>
      </c>
      <c r="Y700" s="19"/>
      <c r="Z700" s="19"/>
      <c r="AA700" s="28" t="s">
        <v>8358</v>
      </c>
      <c r="AB700" s="56">
        <v>43427</v>
      </c>
      <c r="AC700" s="28" t="s">
        <v>8359</v>
      </c>
      <c r="AD700" s="28" t="s">
        <v>8360</v>
      </c>
      <c r="AE700" s="54" t="s">
        <v>8365</v>
      </c>
      <c r="AF700" s="54"/>
      <c r="AG700" s="54" t="s">
        <v>8364</v>
      </c>
      <c r="AH700" s="53" t="s">
        <v>1591</v>
      </c>
      <c r="AI700" s="53" t="s">
        <v>2686</v>
      </c>
      <c r="AJ700" s="53" t="s">
        <v>1591</v>
      </c>
    </row>
    <row r="701" spans="1:36" s="3" customFormat="1" ht="60" x14ac:dyDescent="0.25">
      <c r="A701" s="35" t="s">
        <v>2785</v>
      </c>
      <c r="B701" s="18" t="s">
        <v>37</v>
      </c>
      <c r="C701" s="76"/>
      <c r="D701" s="43" t="s">
        <v>4879</v>
      </c>
      <c r="E701" s="78"/>
      <c r="F701" s="36"/>
      <c r="G701" s="80"/>
      <c r="H701" s="80"/>
      <c r="I701" s="36" t="s">
        <v>4880</v>
      </c>
      <c r="J701" s="34" t="s">
        <v>4881</v>
      </c>
      <c r="K701" s="37" t="s">
        <v>1062</v>
      </c>
      <c r="L701" s="38">
        <v>41745</v>
      </c>
      <c r="M701" s="39">
        <v>41925</v>
      </c>
      <c r="N701" s="42">
        <v>108562.64</v>
      </c>
      <c r="O701" s="85">
        <v>41925</v>
      </c>
      <c r="P701" s="86">
        <v>42105</v>
      </c>
      <c r="Q701" s="41">
        <v>14236.54</v>
      </c>
      <c r="R701" s="41">
        <v>122799.18</v>
      </c>
      <c r="S701" s="80"/>
      <c r="T701" s="81"/>
      <c r="U701" s="80"/>
      <c r="V701" s="80"/>
      <c r="W701" s="42"/>
      <c r="X701" s="42">
        <v>89527.66</v>
      </c>
      <c r="Y701" s="34" t="s">
        <v>4321</v>
      </c>
      <c r="Z701" s="19" t="s">
        <v>7038</v>
      </c>
      <c r="AA701" s="28" t="s">
        <v>8358</v>
      </c>
      <c r="AB701" s="56">
        <v>43427</v>
      </c>
      <c r="AC701" s="28" t="s">
        <v>8359</v>
      </c>
      <c r="AD701" s="28" t="s">
        <v>8360</v>
      </c>
      <c r="AE701" s="54"/>
      <c r="AF701" s="54"/>
      <c r="AG701" s="54" t="s">
        <v>8368</v>
      </c>
      <c r="AH701" s="53" t="s">
        <v>1591</v>
      </c>
      <c r="AI701" s="53" t="s">
        <v>2686</v>
      </c>
      <c r="AJ701" s="53" t="s">
        <v>1591</v>
      </c>
    </row>
    <row r="702" spans="1:36" s="3" customFormat="1" ht="36" x14ac:dyDescent="0.25">
      <c r="A702" s="35" t="s">
        <v>2785</v>
      </c>
      <c r="B702" s="18" t="s">
        <v>37</v>
      </c>
      <c r="C702" s="76"/>
      <c r="D702" s="43" t="s">
        <v>4882</v>
      </c>
      <c r="E702" s="78"/>
      <c r="F702" s="36"/>
      <c r="G702" s="80"/>
      <c r="H702" s="80"/>
      <c r="I702" s="36" t="s">
        <v>4883</v>
      </c>
      <c r="J702" s="34" t="s">
        <v>4884</v>
      </c>
      <c r="K702" s="37" t="s">
        <v>4885</v>
      </c>
      <c r="L702" s="38">
        <v>41134</v>
      </c>
      <c r="M702" s="39">
        <v>41224</v>
      </c>
      <c r="N702" s="42">
        <v>109641.39</v>
      </c>
      <c r="O702" s="85"/>
      <c r="P702" s="86">
        <v>41314</v>
      </c>
      <c r="Q702" s="41"/>
      <c r="R702" s="41">
        <v>109641.39</v>
      </c>
      <c r="S702" s="80"/>
      <c r="T702" s="81"/>
      <c r="U702" s="80"/>
      <c r="V702" s="80"/>
      <c r="W702" s="42"/>
      <c r="X702" s="42">
        <v>22697.91</v>
      </c>
      <c r="Y702" s="34" t="s">
        <v>4321</v>
      </c>
      <c r="Z702" s="19" t="s">
        <v>7038</v>
      </c>
      <c r="AA702" s="28" t="s">
        <v>8358</v>
      </c>
      <c r="AB702" s="56">
        <v>43427</v>
      </c>
      <c r="AC702" s="28" t="s">
        <v>8359</v>
      </c>
      <c r="AD702" s="28" t="s">
        <v>8360</v>
      </c>
      <c r="AE702" s="54"/>
      <c r="AF702" s="54"/>
      <c r="AG702" s="54"/>
      <c r="AH702" s="53"/>
      <c r="AI702" s="53" t="s">
        <v>1591</v>
      </c>
      <c r="AJ702" s="53" t="s">
        <v>1591</v>
      </c>
    </row>
    <row r="703" spans="1:36" s="3" customFormat="1" ht="84" x14ac:dyDescent="0.25">
      <c r="A703" s="35" t="s">
        <v>2785</v>
      </c>
      <c r="B703" s="18" t="s">
        <v>37</v>
      </c>
      <c r="C703" s="76"/>
      <c r="D703" s="43" t="s">
        <v>4886</v>
      </c>
      <c r="E703" s="78"/>
      <c r="F703" s="36"/>
      <c r="G703" s="80"/>
      <c r="H703" s="80"/>
      <c r="I703" s="36" t="s">
        <v>4887</v>
      </c>
      <c r="J703" s="34" t="s">
        <v>4888</v>
      </c>
      <c r="K703" s="37" t="s">
        <v>634</v>
      </c>
      <c r="L703" s="38">
        <v>40973</v>
      </c>
      <c r="M703" s="39">
        <v>41033</v>
      </c>
      <c r="N703" s="42">
        <v>60049.18</v>
      </c>
      <c r="O703" s="85"/>
      <c r="P703" s="86">
        <v>41093</v>
      </c>
      <c r="Q703" s="41"/>
      <c r="R703" s="41">
        <v>60049.18</v>
      </c>
      <c r="S703" s="80"/>
      <c r="T703" s="81"/>
      <c r="U703" s="80"/>
      <c r="V703" s="80"/>
      <c r="W703" s="42"/>
      <c r="X703" s="42">
        <v>21081.27</v>
      </c>
      <c r="Y703" s="34" t="s">
        <v>4321</v>
      </c>
      <c r="Z703" s="19" t="s">
        <v>7038</v>
      </c>
      <c r="AA703" s="28" t="s">
        <v>8358</v>
      </c>
      <c r="AB703" s="56">
        <v>43427</v>
      </c>
      <c r="AC703" s="28" t="s">
        <v>8359</v>
      </c>
      <c r="AD703" s="28" t="s">
        <v>8360</v>
      </c>
      <c r="AE703" s="54"/>
      <c r="AF703" s="54"/>
      <c r="AG703" s="54" t="s">
        <v>8368</v>
      </c>
      <c r="AH703" s="53" t="s">
        <v>1591</v>
      </c>
      <c r="AI703" s="53" t="s">
        <v>2686</v>
      </c>
      <c r="AJ703" s="53" t="s">
        <v>1591</v>
      </c>
    </row>
    <row r="704" spans="1:36" s="3" customFormat="1" ht="180" x14ac:dyDescent="0.25">
      <c r="A704" s="17" t="s">
        <v>1058</v>
      </c>
      <c r="B704" s="18" t="s">
        <v>37</v>
      </c>
      <c r="C704" s="76" t="s">
        <v>4889</v>
      </c>
      <c r="D704" s="45" t="s">
        <v>4890</v>
      </c>
      <c r="E704" s="78" t="s">
        <v>4891</v>
      </c>
      <c r="F704" s="79" t="s">
        <v>70</v>
      </c>
      <c r="G704" s="80">
        <v>1797295.72</v>
      </c>
      <c r="H704" s="80">
        <v>122995.72</v>
      </c>
      <c r="I704" s="78" t="s">
        <v>642</v>
      </c>
      <c r="J704" s="79" t="s">
        <v>4892</v>
      </c>
      <c r="K704" s="81" t="s">
        <v>4893</v>
      </c>
      <c r="L704" s="82">
        <v>42163</v>
      </c>
      <c r="M704" s="83">
        <v>42343</v>
      </c>
      <c r="N704" s="80">
        <v>1785371.12</v>
      </c>
      <c r="O704" s="82" t="s">
        <v>133</v>
      </c>
      <c r="P704" s="84" t="s">
        <v>4894</v>
      </c>
      <c r="Q704" s="80">
        <v>0</v>
      </c>
      <c r="R704" s="80">
        <v>1785371.12</v>
      </c>
      <c r="S704" s="80"/>
      <c r="T704" s="81" t="s">
        <v>52</v>
      </c>
      <c r="U704" s="80">
        <v>62357.99</v>
      </c>
      <c r="V704" s="80"/>
      <c r="W704" s="80"/>
      <c r="X704" s="80">
        <v>62357.99</v>
      </c>
      <c r="Y704" s="76" t="s">
        <v>133</v>
      </c>
      <c r="Z704" s="19" t="s">
        <v>7038</v>
      </c>
      <c r="AA704" s="28" t="s">
        <v>8448</v>
      </c>
      <c r="AB704" s="56">
        <v>43417</v>
      </c>
      <c r="AC704" s="28" t="s">
        <v>5850</v>
      </c>
      <c r="AD704" s="28" t="s">
        <v>8299</v>
      </c>
      <c r="AE704" s="54"/>
      <c r="AF704" s="54"/>
      <c r="AG704" s="54" t="s">
        <v>8300</v>
      </c>
      <c r="AH704" s="53" t="s">
        <v>1591</v>
      </c>
      <c r="AI704" s="53" t="s">
        <v>2686</v>
      </c>
      <c r="AJ704" s="53" t="s">
        <v>1591</v>
      </c>
    </row>
    <row r="705" spans="1:36" s="3" customFormat="1" ht="48" x14ac:dyDescent="0.25">
      <c r="A705" s="17" t="s">
        <v>1058</v>
      </c>
      <c r="B705" s="18" t="s">
        <v>37</v>
      </c>
      <c r="C705" s="19" t="s">
        <v>3472</v>
      </c>
      <c r="D705" s="45" t="s">
        <v>3473</v>
      </c>
      <c r="E705" s="50" t="s">
        <v>3766</v>
      </c>
      <c r="F705" s="58" t="s">
        <v>70</v>
      </c>
      <c r="G705" s="51">
        <v>1482100</v>
      </c>
      <c r="H705" s="51">
        <v>210307.17</v>
      </c>
      <c r="I705" s="50" t="s">
        <v>892</v>
      </c>
      <c r="J705" s="58" t="s">
        <v>2021</v>
      </c>
      <c r="K705" s="52" t="s">
        <v>3767</v>
      </c>
      <c r="L705" s="59">
        <v>42633</v>
      </c>
      <c r="M705" s="60">
        <f>L705+180</f>
        <v>42813</v>
      </c>
      <c r="N705" s="51">
        <v>1692407.17</v>
      </c>
      <c r="O705" s="59"/>
      <c r="P705" s="59">
        <f>M705+180</f>
        <v>42993</v>
      </c>
      <c r="Q705" s="51"/>
      <c r="R705" s="51">
        <f t="shared" ref="R705:R717" si="27">N705+Q705</f>
        <v>1692407.17</v>
      </c>
      <c r="S705" s="51"/>
      <c r="T705" s="52"/>
      <c r="U705" s="51">
        <v>106287.45</v>
      </c>
      <c r="V705" s="51">
        <v>106287.45</v>
      </c>
      <c r="W705" s="51">
        <v>106287.45</v>
      </c>
      <c r="X705" s="51">
        <v>106287.45</v>
      </c>
      <c r="Y705" s="19" t="s">
        <v>175</v>
      </c>
      <c r="Z705" s="19"/>
      <c r="AA705" s="28" t="s">
        <v>8448</v>
      </c>
      <c r="AB705" s="56">
        <v>43417</v>
      </c>
      <c r="AC705" s="28" t="s">
        <v>5850</v>
      </c>
      <c r="AD705" s="28" t="s">
        <v>8299</v>
      </c>
      <c r="AE705" s="54" t="s">
        <v>8302</v>
      </c>
      <c r="AF705" s="54"/>
      <c r="AG705" s="54" t="s">
        <v>8301</v>
      </c>
      <c r="AH705" s="53" t="s">
        <v>1591</v>
      </c>
      <c r="AI705" s="53" t="s">
        <v>2686</v>
      </c>
      <c r="AJ705" s="53" t="s">
        <v>1591</v>
      </c>
    </row>
    <row r="706" spans="1:36" s="3" customFormat="1" ht="48" x14ac:dyDescent="0.25">
      <c r="A706" s="35" t="s">
        <v>1058</v>
      </c>
      <c r="B706" s="18" t="s">
        <v>37</v>
      </c>
      <c r="C706" s="19" t="s">
        <v>3453</v>
      </c>
      <c r="D706" s="43" t="s">
        <v>3454</v>
      </c>
      <c r="E706" s="50" t="s">
        <v>3742</v>
      </c>
      <c r="F706" s="36" t="s">
        <v>60</v>
      </c>
      <c r="G706" s="51">
        <v>1019123.41</v>
      </c>
      <c r="H706" s="51"/>
      <c r="I706" s="36" t="s">
        <v>888</v>
      </c>
      <c r="J706" s="34" t="s">
        <v>3743</v>
      </c>
      <c r="K706" s="37" t="s">
        <v>3744</v>
      </c>
      <c r="L706" s="38">
        <v>41628</v>
      </c>
      <c r="M706" s="39">
        <f>L706+270</f>
        <v>41898</v>
      </c>
      <c r="N706" s="42">
        <v>1019123.41</v>
      </c>
      <c r="O706" s="74" t="s">
        <v>3908</v>
      </c>
      <c r="P706" s="39">
        <f>M706+810</f>
        <v>42708</v>
      </c>
      <c r="Q706" s="41"/>
      <c r="R706" s="51">
        <f t="shared" si="27"/>
        <v>1019123.41</v>
      </c>
      <c r="S706" s="51"/>
      <c r="T706" s="52" t="s">
        <v>52</v>
      </c>
      <c r="U706" s="51" t="s">
        <v>46</v>
      </c>
      <c r="V706" s="51" t="s">
        <v>46</v>
      </c>
      <c r="W706" s="42"/>
      <c r="X706" s="42">
        <v>510052.05</v>
      </c>
      <c r="Y706" s="34" t="s">
        <v>498</v>
      </c>
      <c r="Z706" s="34"/>
      <c r="AA706" s="28" t="s">
        <v>8448</v>
      </c>
      <c r="AB706" s="56">
        <v>43417</v>
      </c>
      <c r="AC706" s="28" t="s">
        <v>5850</v>
      </c>
      <c r="AD706" s="28" t="s">
        <v>8299</v>
      </c>
      <c r="AE706" s="54"/>
      <c r="AF706" s="54"/>
      <c r="AG706" s="54" t="s">
        <v>8303</v>
      </c>
      <c r="AH706" s="53" t="s">
        <v>1591</v>
      </c>
      <c r="AI706" s="53" t="s">
        <v>2686</v>
      </c>
      <c r="AJ706" s="53" t="s">
        <v>1591</v>
      </c>
    </row>
    <row r="707" spans="1:36" s="3" customFormat="1" ht="48" x14ac:dyDescent="0.25">
      <c r="A707" s="17" t="s">
        <v>1058</v>
      </c>
      <c r="B707" s="18" t="s">
        <v>37</v>
      </c>
      <c r="C707" s="19" t="s">
        <v>3467</v>
      </c>
      <c r="D707" s="45" t="s">
        <v>3468</v>
      </c>
      <c r="E707" s="50" t="s">
        <v>3758</v>
      </c>
      <c r="F707" s="58" t="s">
        <v>112</v>
      </c>
      <c r="G707" s="51">
        <v>869057.93</v>
      </c>
      <c r="H707" s="51">
        <v>17735.88</v>
      </c>
      <c r="I707" s="50" t="s">
        <v>1064</v>
      </c>
      <c r="J707" s="58" t="s">
        <v>3759</v>
      </c>
      <c r="K707" s="52" t="s">
        <v>3760</v>
      </c>
      <c r="L707" s="59">
        <v>42223</v>
      </c>
      <c r="M707" s="60">
        <f>L707+365</f>
        <v>42588</v>
      </c>
      <c r="N707" s="51">
        <v>992554.43</v>
      </c>
      <c r="O707" s="59" t="s">
        <v>3908</v>
      </c>
      <c r="P707" s="59">
        <v>0</v>
      </c>
      <c r="Q707" s="51"/>
      <c r="R707" s="51">
        <f t="shared" si="27"/>
        <v>992554.43</v>
      </c>
      <c r="S707" s="51"/>
      <c r="T707" s="52" t="s">
        <v>52</v>
      </c>
      <c r="U707" s="51" t="s">
        <v>46</v>
      </c>
      <c r="V707" s="51"/>
      <c r="W707" s="51"/>
      <c r="X707" s="51"/>
      <c r="Y707" s="19" t="s">
        <v>1319</v>
      </c>
      <c r="Z707" s="19"/>
      <c r="AA707" s="28" t="s">
        <v>8448</v>
      </c>
      <c r="AB707" s="56">
        <v>43417</v>
      </c>
      <c r="AC707" s="28" t="s">
        <v>5850</v>
      </c>
      <c r="AD707" s="28" t="s">
        <v>8299</v>
      </c>
      <c r="AE707" s="54"/>
      <c r="AF707" s="54"/>
      <c r="AG707" s="54" t="s">
        <v>8304</v>
      </c>
      <c r="AH707" s="53" t="s">
        <v>1591</v>
      </c>
      <c r="AI707" s="53" t="s">
        <v>2686</v>
      </c>
      <c r="AJ707" s="53" t="s">
        <v>1591</v>
      </c>
    </row>
    <row r="708" spans="1:36" s="3" customFormat="1" ht="48" x14ac:dyDescent="0.25">
      <c r="A708" s="17" t="s">
        <v>1058</v>
      </c>
      <c r="B708" s="18" t="s">
        <v>37</v>
      </c>
      <c r="C708" s="19" t="s">
        <v>3469</v>
      </c>
      <c r="D708" s="45" t="s">
        <v>3470</v>
      </c>
      <c r="E708" s="50" t="s">
        <v>3761</v>
      </c>
      <c r="F708" s="58" t="s">
        <v>661</v>
      </c>
      <c r="G708" s="51">
        <v>926818.27</v>
      </c>
      <c r="H708" s="51">
        <v>62526.51</v>
      </c>
      <c r="I708" s="50" t="s">
        <v>3762</v>
      </c>
      <c r="J708" s="58" t="s">
        <v>3763</v>
      </c>
      <c r="K708" s="52" t="s">
        <v>3764</v>
      </c>
      <c r="L708" s="59">
        <v>42542</v>
      </c>
      <c r="M708" s="60">
        <f>L708+180</f>
        <v>42722</v>
      </c>
      <c r="N708" s="51">
        <v>951865.96</v>
      </c>
      <c r="O708" s="59">
        <v>43121</v>
      </c>
      <c r="P708" s="59">
        <f>M708+180</f>
        <v>42902</v>
      </c>
      <c r="Q708" s="51"/>
      <c r="R708" s="51">
        <f t="shared" si="27"/>
        <v>951865.96</v>
      </c>
      <c r="S708" s="51"/>
      <c r="T708" s="52" t="s">
        <v>52</v>
      </c>
      <c r="U708" s="51" t="s">
        <v>46</v>
      </c>
      <c r="V708" s="51"/>
      <c r="W708" s="51"/>
      <c r="X708" s="51"/>
      <c r="Y708" s="19" t="s">
        <v>175</v>
      </c>
      <c r="Z708" s="19"/>
      <c r="AA708" s="28" t="s">
        <v>8448</v>
      </c>
      <c r="AB708" s="56">
        <v>43417</v>
      </c>
      <c r="AC708" s="28" t="s">
        <v>5850</v>
      </c>
      <c r="AD708" s="28" t="s">
        <v>8299</v>
      </c>
      <c r="AE708" s="54" t="s">
        <v>8306</v>
      </c>
      <c r="AF708" s="54"/>
      <c r="AG708" s="54" t="s">
        <v>8305</v>
      </c>
      <c r="AH708" s="53" t="s">
        <v>1591</v>
      </c>
      <c r="AI708" s="53" t="s">
        <v>2686</v>
      </c>
      <c r="AJ708" s="53" t="s">
        <v>1591</v>
      </c>
    </row>
    <row r="709" spans="1:36" s="3" customFormat="1" ht="48" x14ac:dyDescent="0.25">
      <c r="A709" s="35" t="s">
        <v>1058</v>
      </c>
      <c r="B709" s="18" t="s">
        <v>37</v>
      </c>
      <c r="C709" s="19" t="s">
        <v>3459</v>
      </c>
      <c r="D709" s="43" t="s">
        <v>3460</v>
      </c>
      <c r="E709" s="50" t="s">
        <v>3750</v>
      </c>
      <c r="F709" s="36" t="s">
        <v>60</v>
      </c>
      <c r="G709" s="51">
        <v>942071.62</v>
      </c>
      <c r="H709" s="51"/>
      <c r="I709" s="36" t="s">
        <v>884</v>
      </c>
      <c r="J709" s="34" t="s">
        <v>3751</v>
      </c>
      <c r="K709" s="37" t="s">
        <v>3752</v>
      </c>
      <c r="L709" s="38">
        <v>41909</v>
      </c>
      <c r="M709" s="39">
        <f>L709+270</f>
        <v>42179</v>
      </c>
      <c r="N709" s="42">
        <v>933956.54</v>
      </c>
      <c r="O709" s="74" t="s">
        <v>3908</v>
      </c>
      <c r="P709" s="39">
        <f>M709+570</f>
        <v>42749</v>
      </c>
      <c r="Q709" s="41"/>
      <c r="R709" s="51">
        <f t="shared" si="27"/>
        <v>933956.54</v>
      </c>
      <c r="S709" s="51"/>
      <c r="T709" s="52" t="s">
        <v>52</v>
      </c>
      <c r="U709" s="51" t="s">
        <v>46</v>
      </c>
      <c r="V709" s="51" t="s">
        <v>46</v>
      </c>
      <c r="W709" s="42"/>
      <c r="X709" s="42">
        <v>293741.8</v>
      </c>
      <c r="Y709" s="34" t="s">
        <v>498</v>
      </c>
      <c r="Z709" s="34"/>
      <c r="AA709" s="28" t="s">
        <v>8448</v>
      </c>
      <c r="AB709" s="56">
        <v>43417</v>
      </c>
      <c r="AC709" s="28" t="s">
        <v>5850</v>
      </c>
      <c r="AD709" s="28" t="s">
        <v>8299</v>
      </c>
      <c r="AE709" s="54"/>
      <c r="AF709" s="54"/>
      <c r="AG709" s="54" t="s">
        <v>8303</v>
      </c>
      <c r="AH709" s="53" t="s">
        <v>1591</v>
      </c>
      <c r="AI709" s="53" t="s">
        <v>2686</v>
      </c>
      <c r="AJ709" s="53" t="s">
        <v>1591</v>
      </c>
    </row>
    <row r="710" spans="1:36" s="3" customFormat="1" ht="48" x14ac:dyDescent="0.25">
      <c r="A710" s="35" t="s">
        <v>1058</v>
      </c>
      <c r="B710" s="18" t="s">
        <v>37</v>
      </c>
      <c r="C710" s="19" t="s">
        <v>3457</v>
      </c>
      <c r="D710" s="43" t="s">
        <v>3458</v>
      </c>
      <c r="E710" s="50" t="s">
        <v>3748</v>
      </c>
      <c r="F710" s="36" t="s">
        <v>60</v>
      </c>
      <c r="G710" s="51">
        <v>915023.98</v>
      </c>
      <c r="H710" s="51"/>
      <c r="I710" s="36" t="s">
        <v>3746</v>
      </c>
      <c r="J710" s="34" t="s">
        <v>3743</v>
      </c>
      <c r="K710" s="37" t="s">
        <v>3749</v>
      </c>
      <c r="L710" s="38">
        <v>41711</v>
      </c>
      <c r="M710" s="39">
        <f>L710+270</f>
        <v>41981</v>
      </c>
      <c r="N710" s="42">
        <v>915023.98</v>
      </c>
      <c r="O710" s="74" t="s">
        <v>3908</v>
      </c>
      <c r="P710" s="39">
        <f>M710+730</f>
        <v>42711</v>
      </c>
      <c r="Q710" s="41"/>
      <c r="R710" s="51">
        <f t="shared" si="27"/>
        <v>915023.98</v>
      </c>
      <c r="S710" s="51" t="s">
        <v>46</v>
      </c>
      <c r="T710" s="52" t="s">
        <v>52</v>
      </c>
      <c r="U710" s="51" t="s">
        <v>46</v>
      </c>
      <c r="V710" s="51" t="s">
        <v>46</v>
      </c>
      <c r="W710" s="42"/>
      <c r="X710" s="42">
        <v>181380</v>
      </c>
      <c r="Y710" s="34" t="s">
        <v>498</v>
      </c>
      <c r="Z710" s="34"/>
      <c r="AA710" s="28" t="s">
        <v>8448</v>
      </c>
      <c r="AB710" s="56">
        <v>43417</v>
      </c>
      <c r="AC710" s="28" t="s">
        <v>5850</v>
      </c>
      <c r="AD710" s="28" t="s">
        <v>8299</v>
      </c>
      <c r="AE710" s="54"/>
      <c r="AF710" s="54"/>
      <c r="AG710" s="54" t="s">
        <v>8303</v>
      </c>
      <c r="AH710" s="53" t="s">
        <v>1591</v>
      </c>
      <c r="AI710" s="53" t="s">
        <v>2686</v>
      </c>
      <c r="AJ710" s="53" t="s">
        <v>1591</v>
      </c>
    </row>
    <row r="711" spans="1:36" s="3" customFormat="1" ht="36" x14ac:dyDescent="0.25">
      <c r="A711" s="17" t="s">
        <v>1058</v>
      </c>
      <c r="B711" s="18" t="s">
        <v>37</v>
      </c>
      <c r="C711" s="19"/>
      <c r="D711" s="45" t="s">
        <v>3466</v>
      </c>
      <c r="E711" s="50" t="s">
        <v>3757</v>
      </c>
      <c r="F711" s="58"/>
      <c r="G711" s="51">
        <v>493100</v>
      </c>
      <c r="H711" s="51">
        <v>50739.58</v>
      </c>
      <c r="I711" s="50" t="s">
        <v>642</v>
      </c>
      <c r="J711" s="58" t="s">
        <v>1825</v>
      </c>
      <c r="K711" s="52" t="s">
        <v>979</v>
      </c>
      <c r="L711" s="59">
        <v>42227</v>
      </c>
      <c r="M711" s="60">
        <f>L711+180</f>
        <v>42407</v>
      </c>
      <c r="N711" s="51">
        <v>543839.57999999996</v>
      </c>
      <c r="O711" s="59">
        <v>42594</v>
      </c>
      <c r="P711" s="59">
        <v>0</v>
      </c>
      <c r="Q711" s="51"/>
      <c r="R711" s="51">
        <f t="shared" si="27"/>
        <v>543839.57999999996</v>
      </c>
      <c r="S711" s="51"/>
      <c r="T711" s="52" t="s">
        <v>52</v>
      </c>
      <c r="U711" s="51" t="s">
        <v>46</v>
      </c>
      <c r="V711" s="51" t="s">
        <v>46</v>
      </c>
      <c r="W711" s="51"/>
      <c r="X711" s="51">
        <v>266108.26</v>
      </c>
      <c r="Y711" s="19" t="s">
        <v>498</v>
      </c>
      <c r="Z711" s="19"/>
      <c r="AA711" s="28" t="s">
        <v>8448</v>
      </c>
      <c r="AB711" s="56">
        <v>43417</v>
      </c>
      <c r="AC711" s="28" t="s">
        <v>5850</v>
      </c>
      <c r="AD711" s="28" t="s">
        <v>8299</v>
      </c>
      <c r="AE711" s="54"/>
      <c r="AF711" s="54"/>
      <c r="AG711" s="54"/>
      <c r="AH711" s="53"/>
      <c r="AI711" s="53" t="s">
        <v>1591</v>
      </c>
      <c r="AJ711" s="53" t="s">
        <v>1591</v>
      </c>
    </row>
    <row r="712" spans="1:36" s="3" customFormat="1" ht="48" x14ac:dyDescent="0.25">
      <c r="A712" s="17" t="s">
        <v>1058</v>
      </c>
      <c r="B712" s="18" t="s">
        <v>37</v>
      </c>
      <c r="C712" s="19" t="s">
        <v>3455</v>
      </c>
      <c r="D712" s="45" t="s">
        <v>3456</v>
      </c>
      <c r="E712" s="50" t="s">
        <v>3745</v>
      </c>
      <c r="F712" s="58" t="s">
        <v>60</v>
      </c>
      <c r="G712" s="51">
        <v>509773.03</v>
      </c>
      <c r="H712" s="51"/>
      <c r="I712" s="50" t="s">
        <v>3746</v>
      </c>
      <c r="J712" s="58" t="s">
        <v>3743</v>
      </c>
      <c r="K712" s="52" t="s">
        <v>3747</v>
      </c>
      <c r="L712" s="59">
        <v>41611</v>
      </c>
      <c r="M712" s="60">
        <f>L712+270</f>
        <v>41881</v>
      </c>
      <c r="N712" s="51">
        <v>509773.03</v>
      </c>
      <c r="O712" s="59" t="s">
        <v>3908</v>
      </c>
      <c r="P712" s="59">
        <f>M712+420</f>
        <v>42301</v>
      </c>
      <c r="Q712" s="51"/>
      <c r="R712" s="51">
        <f t="shared" si="27"/>
        <v>509773.03</v>
      </c>
      <c r="S712" s="51"/>
      <c r="T712" s="52" t="s">
        <v>52</v>
      </c>
      <c r="U712" s="51" t="s">
        <v>46</v>
      </c>
      <c r="V712" s="51" t="s">
        <v>46</v>
      </c>
      <c r="W712" s="51"/>
      <c r="X712" s="51">
        <v>280375.13</v>
      </c>
      <c r="Y712" s="19" t="s">
        <v>498</v>
      </c>
      <c r="Z712" s="19"/>
      <c r="AA712" s="28" t="s">
        <v>8448</v>
      </c>
      <c r="AB712" s="56">
        <v>43417</v>
      </c>
      <c r="AC712" s="28" t="s">
        <v>5850</v>
      </c>
      <c r="AD712" s="28" t="s">
        <v>8299</v>
      </c>
      <c r="AE712" s="54"/>
      <c r="AF712" s="54"/>
      <c r="AG712" s="54" t="s">
        <v>8303</v>
      </c>
      <c r="AH712" s="53" t="s">
        <v>1591</v>
      </c>
      <c r="AI712" s="53" t="s">
        <v>2686</v>
      </c>
      <c r="AJ712" s="53" t="s">
        <v>1591</v>
      </c>
    </row>
    <row r="713" spans="1:36" s="3" customFormat="1" ht="36" x14ac:dyDescent="0.25">
      <c r="A713" s="17" t="s">
        <v>1058</v>
      </c>
      <c r="B713" s="18" t="s">
        <v>37</v>
      </c>
      <c r="C713" s="19"/>
      <c r="D713" s="45" t="s">
        <v>3465</v>
      </c>
      <c r="E713" s="50" t="s">
        <v>3756</v>
      </c>
      <c r="F713" s="58"/>
      <c r="G713" s="51">
        <v>245850</v>
      </c>
      <c r="H713" s="51">
        <v>116772.75</v>
      </c>
      <c r="I713" s="50" t="s">
        <v>642</v>
      </c>
      <c r="J713" s="58" t="s">
        <v>1825</v>
      </c>
      <c r="K713" s="52" t="s">
        <v>471</v>
      </c>
      <c r="L713" s="59">
        <v>42227</v>
      </c>
      <c r="M713" s="60">
        <f>L713+180</f>
        <v>42407</v>
      </c>
      <c r="N713" s="51">
        <v>362622.75</v>
      </c>
      <c r="O713" s="59">
        <v>42594</v>
      </c>
      <c r="P713" s="59">
        <v>0</v>
      </c>
      <c r="Q713" s="51"/>
      <c r="R713" s="51">
        <f t="shared" si="27"/>
        <v>362622.75</v>
      </c>
      <c r="S713" s="51"/>
      <c r="T713" s="52" t="s">
        <v>52</v>
      </c>
      <c r="U713" s="51" t="s">
        <v>46</v>
      </c>
      <c r="V713" s="51" t="s">
        <v>46</v>
      </c>
      <c r="W713" s="51"/>
      <c r="X713" s="51">
        <v>123784.09</v>
      </c>
      <c r="Y713" s="19" t="s">
        <v>498</v>
      </c>
      <c r="Z713" s="19"/>
      <c r="AA713" s="28" t="s">
        <v>8448</v>
      </c>
      <c r="AB713" s="56">
        <v>43417</v>
      </c>
      <c r="AC713" s="28" t="s">
        <v>5850</v>
      </c>
      <c r="AD713" s="28" t="s">
        <v>8299</v>
      </c>
      <c r="AE713" s="54"/>
      <c r="AF713" s="54"/>
      <c r="AG713" s="54"/>
      <c r="AH713" s="53"/>
      <c r="AI713" s="53" t="s">
        <v>1591</v>
      </c>
      <c r="AJ713" s="53" t="s">
        <v>1591</v>
      </c>
    </row>
    <row r="714" spans="1:36" s="3" customFormat="1" ht="36" x14ac:dyDescent="0.25">
      <c r="A714" s="17" t="s">
        <v>1058</v>
      </c>
      <c r="B714" s="18" t="s">
        <v>37</v>
      </c>
      <c r="C714" s="19"/>
      <c r="D714" s="45" t="s">
        <v>3464</v>
      </c>
      <c r="E714" s="50" t="s">
        <v>3755</v>
      </c>
      <c r="F714" s="58"/>
      <c r="G714" s="51">
        <v>310914.17</v>
      </c>
      <c r="H714" s="51">
        <v>4227.7700000000004</v>
      </c>
      <c r="I714" s="50" t="s">
        <v>642</v>
      </c>
      <c r="J714" s="58" t="s">
        <v>1825</v>
      </c>
      <c r="K714" s="52" t="s">
        <v>961</v>
      </c>
      <c r="L714" s="59">
        <v>42227</v>
      </c>
      <c r="M714" s="60">
        <f>L714+180</f>
        <v>42407</v>
      </c>
      <c r="N714" s="51">
        <v>315141.94</v>
      </c>
      <c r="O714" s="59">
        <v>42594</v>
      </c>
      <c r="P714" s="59">
        <v>0</v>
      </c>
      <c r="Q714" s="51"/>
      <c r="R714" s="51">
        <f t="shared" si="27"/>
        <v>315141.94</v>
      </c>
      <c r="S714" s="51"/>
      <c r="T714" s="52" t="s">
        <v>52</v>
      </c>
      <c r="U714" s="51" t="s">
        <v>46</v>
      </c>
      <c r="V714" s="51" t="s">
        <v>46</v>
      </c>
      <c r="W714" s="51"/>
      <c r="X714" s="51">
        <v>192648.87</v>
      </c>
      <c r="Y714" s="19" t="s">
        <v>498</v>
      </c>
      <c r="Z714" s="19"/>
      <c r="AA714" s="28" t="s">
        <v>8448</v>
      </c>
      <c r="AB714" s="56">
        <v>43417</v>
      </c>
      <c r="AC714" s="28" t="s">
        <v>5850</v>
      </c>
      <c r="AD714" s="28" t="s">
        <v>8299</v>
      </c>
      <c r="AE714" s="54"/>
      <c r="AF714" s="54"/>
      <c r="AG714" s="54"/>
      <c r="AH714" s="53"/>
      <c r="AI714" s="53" t="s">
        <v>1591</v>
      </c>
      <c r="AJ714" s="53" t="s">
        <v>1591</v>
      </c>
    </row>
    <row r="715" spans="1:36" s="3" customFormat="1" ht="36" x14ac:dyDescent="0.25">
      <c r="A715" s="17" t="s">
        <v>1058</v>
      </c>
      <c r="B715" s="18" t="s">
        <v>37</v>
      </c>
      <c r="C715" s="19"/>
      <c r="D715" s="45" t="s">
        <v>3463</v>
      </c>
      <c r="E715" s="50" t="s">
        <v>3754</v>
      </c>
      <c r="F715" s="58"/>
      <c r="G715" s="51">
        <v>295300</v>
      </c>
      <c r="H715" s="51">
        <v>7090.01</v>
      </c>
      <c r="I715" s="50" t="s">
        <v>642</v>
      </c>
      <c r="J715" s="58" t="s">
        <v>1825</v>
      </c>
      <c r="K715" s="52" t="s">
        <v>432</v>
      </c>
      <c r="L715" s="59">
        <v>42227</v>
      </c>
      <c r="M715" s="60">
        <f>L715+180</f>
        <v>42407</v>
      </c>
      <c r="N715" s="51">
        <v>302390.01</v>
      </c>
      <c r="O715" s="59">
        <v>42594</v>
      </c>
      <c r="P715" s="59">
        <v>0</v>
      </c>
      <c r="Q715" s="51"/>
      <c r="R715" s="51">
        <f t="shared" si="27"/>
        <v>302390.01</v>
      </c>
      <c r="S715" s="51"/>
      <c r="T715" s="52" t="s">
        <v>52</v>
      </c>
      <c r="U715" s="51" t="s">
        <v>46</v>
      </c>
      <c r="V715" s="51" t="s">
        <v>46</v>
      </c>
      <c r="W715" s="51"/>
      <c r="X715" s="51">
        <v>147333.63</v>
      </c>
      <c r="Y715" s="19" t="s">
        <v>498</v>
      </c>
      <c r="Z715" s="19"/>
      <c r="AA715" s="28" t="s">
        <v>8448</v>
      </c>
      <c r="AB715" s="56">
        <v>43417</v>
      </c>
      <c r="AC715" s="28" t="s">
        <v>5850</v>
      </c>
      <c r="AD715" s="28" t="s">
        <v>8299</v>
      </c>
      <c r="AE715" s="54"/>
      <c r="AF715" s="54"/>
      <c r="AG715" s="54"/>
      <c r="AH715" s="53"/>
      <c r="AI715" s="53" t="s">
        <v>1591</v>
      </c>
      <c r="AJ715" s="53" t="s">
        <v>1591</v>
      </c>
    </row>
    <row r="716" spans="1:36" s="3" customFormat="1" ht="48" x14ac:dyDescent="0.25">
      <c r="A716" s="17" t="s">
        <v>1058</v>
      </c>
      <c r="B716" s="18" t="s">
        <v>37</v>
      </c>
      <c r="C716" s="19" t="s">
        <v>3461</v>
      </c>
      <c r="D716" s="45" t="s">
        <v>3462</v>
      </c>
      <c r="E716" s="50" t="s">
        <v>3753</v>
      </c>
      <c r="F716" s="58" t="s">
        <v>70</v>
      </c>
      <c r="G716" s="51">
        <v>215674.18</v>
      </c>
      <c r="H716" s="51">
        <v>43569.279999999999</v>
      </c>
      <c r="I716" s="50" t="s">
        <v>642</v>
      </c>
      <c r="J716" s="58" t="s">
        <v>1825</v>
      </c>
      <c r="K716" s="52" t="s">
        <v>214</v>
      </c>
      <c r="L716" s="59">
        <v>42227</v>
      </c>
      <c r="M716" s="60">
        <f>L716+180</f>
        <v>42407</v>
      </c>
      <c r="N716" s="51">
        <v>259243.46</v>
      </c>
      <c r="O716" s="59">
        <v>42594</v>
      </c>
      <c r="P716" s="59">
        <v>0</v>
      </c>
      <c r="Q716" s="51"/>
      <c r="R716" s="51">
        <f t="shared" si="27"/>
        <v>259243.46</v>
      </c>
      <c r="S716" s="51"/>
      <c r="T716" s="52" t="s">
        <v>52</v>
      </c>
      <c r="U716" s="51" t="s">
        <v>46</v>
      </c>
      <c r="V716" s="51" t="s">
        <v>46</v>
      </c>
      <c r="W716" s="51"/>
      <c r="X716" s="51">
        <v>80294.38</v>
      </c>
      <c r="Y716" s="19" t="s">
        <v>498</v>
      </c>
      <c r="Z716" s="19"/>
      <c r="AA716" s="28" t="s">
        <v>8448</v>
      </c>
      <c r="AB716" s="56">
        <v>43417</v>
      </c>
      <c r="AC716" s="28" t="s">
        <v>5850</v>
      </c>
      <c r="AD716" s="28" t="s">
        <v>8299</v>
      </c>
      <c r="AE716" s="54"/>
      <c r="AF716" s="54"/>
      <c r="AG716" s="54"/>
      <c r="AH716" s="53"/>
      <c r="AI716" s="53" t="s">
        <v>1591</v>
      </c>
      <c r="AJ716" s="53" t="s">
        <v>1591</v>
      </c>
    </row>
    <row r="717" spans="1:36" s="3" customFormat="1" ht="48" x14ac:dyDescent="0.25">
      <c r="A717" s="17" t="s">
        <v>1058</v>
      </c>
      <c r="B717" s="18" t="s">
        <v>37</v>
      </c>
      <c r="C717" s="19"/>
      <c r="D717" s="45" t="s">
        <v>3471</v>
      </c>
      <c r="E717" s="50" t="s">
        <v>3761</v>
      </c>
      <c r="F717" s="58" t="s">
        <v>661</v>
      </c>
      <c r="G717" s="51">
        <v>200000</v>
      </c>
      <c r="H717" s="51">
        <v>8168.82</v>
      </c>
      <c r="I717" s="50" t="s">
        <v>3762</v>
      </c>
      <c r="J717" s="58" t="s">
        <v>3763</v>
      </c>
      <c r="K717" s="52" t="s">
        <v>3765</v>
      </c>
      <c r="L717" s="59">
        <v>42542</v>
      </c>
      <c r="M717" s="60">
        <f>L717+180</f>
        <v>42722</v>
      </c>
      <c r="N717" s="51">
        <v>206074.61</v>
      </c>
      <c r="O717" s="59">
        <v>43121</v>
      </c>
      <c r="P717" s="59">
        <f>M717+180</f>
        <v>42902</v>
      </c>
      <c r="Q717" s="51"/>
      <c r="R717" s="51">
        <f t="shared" si="27"/>
        <v>206074.61</v>
      </c>
      <c r="S717" s="51"/>
      <c r="T717" s="52" t="s">
        <v>52</v>
      </c>
      <c r="U717" s="51" t="s">
        <v>46</v>
      </c>
      <c r="V717" s="51"/>
      <c r="W717" s="51"/>
      <c r="X717" s="51">
        <v>61505.86</v>
      </c>
      <c r="Y717" s="19" t="s">
        <v>175</v>
      </c>
      <c r="Z717" s="19"/>
      <c r="AA717" s="28" t="s">
        <v>8448</v>
      </c>
      <c r="AB717" s="56">
        <v>43417</v>
      </c>
      <c r="AC717" s="28" t="s">
        <v>5850</v>
      </c>
      <c r="AD717" s="28" t="s">
        <v>8299</v>
      </c>
      <c r="AE717" s="54" t="s">
        <v>8306</v>
      </c>
      <c r="AF717" s="54"/>
      <c r="AG717" s="54" t="s">
        <v>8307</v>
      </c>
      <c r="AH717" s="53" t="s">
        <v>1591</v>
      </c>
      <c r="AI717" s="53" t="s">
        <v>2686</v>
      </c>
      <c r="AJ717" s="53" t="s">
        <v>1591</v>
      </c>
    </row>
    <row r="718" spans="1:36" s="3" customFormat="1" ht="36" x14ac:dyDescent="0.25">
      <c r="A718" s="17" t="s">
        <v>1058</v>
      </c>
      <c r="B718" s="18" t="s">
        <v>37</v>
      </c>
      <c r="C718" s="76" t="s">
        <v>4896</v>
      </c>
      <c r="D718" s="45" t="s">
        <v>4897</v>
      </c>
      <c r="E718" s="78" t="s">
        <v>252</v>
      </c>
      <c r="F718" s="79" t="s">
        <v>252</v>
      </c>
      <c r="G718" s="80">
        <v>149845.44</v>
      </c>
      <c r="H718" s="80" t="s">
        <v>1059</v>
      </c>
      <c r="I718" s="78" t="s">
        <v>4898</v>
      </c>
      <c r="J718" s="79" t="s">
        <v>4892</v>
      </c>
      <c r="K718" s="81" t="s">
        <v>438</v>
      </c>
      <c r="L718" s="82">
        <v>41857</v>
      </c>
      <c r="M718" s="83">
        <v>41977</v>
      </c>
      <c r="N718" s="80">
        <v>148504.91</v>
      </c>
      <c r="O718" s="82" t="s">
        <v>133</v>
      </c>
      <c r="P718" s="84" t="s">
        <v>4899</v>
      </c>
      <c r="Q718" s="80">
        <v>0</v>
      </c>
      <c r="R718" s="80">
        <v>148504.91</v>
      </c>
      <c r="S718" s="80"/>
      <c r="T718" s="81" t="s">
        <v>52</v>
      </c>
      <c r="U718" s="80">
        <v>20000</v>
      </c>
      <c r="V718" s="80"/>
      <c r="W718" s="80"/>
      <c r="X718" s="80">
        <v>20000</v>
      </c>
      <c r="Y718" s="76" t="s">
        <v>133</v>
      </c>
      <c r="Z718" s="19" t="s">
        <v>7038</v>
      </c>
      <c r="AA718" s="28" t="s">
        <v>8448</v>
      </c>
      <c r="AB718" s="56">
        <v>43417</v>
      </c>
      <c r="AC718" s="28" t="s">
        <v>5850</v>
      </c>
      <c r="AD718" s="28" t="s">
        <v>8299</v>
      </c>
      <c r="AE718" s="54" t="s">
        <v>8309</v>
      </c>
      <c r="AF718" s="54"/>
      <c r="AG718" s="54" t="s">
        <v>8308</v>
      </c>
      <c r="AH718" s="53" t="s">
        <v>1591</v>
      </c>
      <c r="AI718" s="53" t="s">
        <v>2686</v>
      </c>
      <c r="AJ718" s="53" t="s">
        <v>1591</v>
      </c>
    </row>
    <row r="719" spans="1:36" s="3" customFormat="1" ht="180" x14ac:dyDescent="0.25">
      <c r="A719" s="17" t="s">
        <v>1058</v>
      </c>
      <c r="B719" s="18" t="s">
        <v>37</v>
      </c>
      <c r="C719" s="76" t="s">
        <v>4900</v>
      </c>
      <c r="D719" s="45" t="s">
        <v>4890</v>
      </c>
      <c r="E719" s="78" t="s">
        <v>4891</v>
      </c>
      <c r="F719" s="79" t="s">
        <v>70</v>
      </c>
      <c r="G719" s="80">
        <v>1797295.72</v>
      </c>
      <c r="H719" s="80">
        <v>122995.72</v>
      </c>
      <c r="I719" s="78"/>
      <c r="J719" s="79"/>
      <c r="K719" s="81"/>
      <c r="L719" s="82"/>
      <c r="M719" s="83"/>
      <c r="N719" s="80"/>
      <c r="O719" s="82"/>
      <c r="P719" s="84"/>
      <c r="Q719" s="80">
        <v>0</v>
      </c>
      <c r="R719" s="80"/>
      <c r="S719" s="80"/>
      <c r="T719" s="81" t="s">
        <v>52</v>
      </c>
      <c r="U719" s="80"/>
      <c r="V719" s="80"/>
      <c r="W719" s="80"/>
      <c r="X719" s="80">
        <v>1797295.72</v>
      </c>
      <c r="Y719" s="76" t="s">
        <v>4895</v>
      </c>
      <c r="Z719" s="19" t="s">
        <v>7038</v>
      </c>
      <c r="AA719" s="28" t="s">
        <v>8448</v>
      </c>
      <c r="AB719" s="56">
        <v>43417</v>
      </c>
      <c r="AC719" s="28" t="s">
        <v>5850</v>
      </c>
      <c r="AD719" s="28" t="s">
        <v>8299</v>
      </c>
      <c r="AE719" s="54"/>
      <c r="AF719" s="54"/>
      <c r="AG719" s="54"/>
      <c r="AH719" s="53"/>
      <c r="AI719" s="53" t="s">
        <v>1591</v>
      </c>
      <c r="AJ719" s="53" t="s">
        <v>1591</v>
      </c>
    </row>
    <row r="720" spans="1:36" s="3" customFormat="1" ht="60" x14ac:dyDescent="0.25">
      <c r="A720" s="17" t="s">
        <v>1071</v>
      </c>
      <c r="B720" s="18" t="s">
        <v>37</v>
      </c>
      <c r="C720" s="76" t="s">
        <v>4902</v>
      </c>
      <c r="D720" s="45" t="s">
        <v>4903</v>
      </c>
      <c r="E720" s="78" t="s">
        <v>4904</v>
      </c>
      <c r="F720" s="79" t="s">
        <v>562</v>
      </c>
      <c r="G720" s="80">
        <v>900000</v>
      </c>
      <c r="H720" s="80">
        <v>31000</v>
      </c>
      <c r="I720" s="78" t="s">
        <v>4905</v>
      </c>
      <c r="J720" s="79" t="s">
        <v>4906</v>
      </c>
      <c r="K720" s="81" t="s">
        <v>4907</v>
      </c>
      <c r="L720" s="82">
        <v>39899</v>
      </c>
      <c r="M720" s="83">
        <v>39991</v>
      </c>
      <c r="N720" s="80">
        <v>901051.4</v>
      </c>
      <c r="O720" s="82">
        <v>36524</v>
      </c>
      <c r="P720" s="84">
        <v>42003</v>
      </c>
      <c r="Q720" s="80">
        <v>0</v>
      </c>
      <c r="R720" s="80">
        <v>901051.4</v>
      </c>
      <c r="S720" s="80"/>
      <c r="T720" s="81" t="s">
        <v>1072</v>
      </c>
      <c r="U720" s="80"/>
      <c r="V720" s="80"/>
      <c r="W720" s="80"/>
      <c r="X720" s="80">
        <v>544433.57999999996</v>
      </c>
      <c r="Y720" s="76" t="s">
        <v>542</v>
      </c>
      <c r="Z720" s="19" t="s">
        <v>7038</v>
      </c>
      <c r="AA720" s="28" t="s">
        <v>8515</v>
      </c>
      <c r="AB720" s="56">
        <v>43426</v>
      </c>
      <c r="AC720" s="28" t="s">
        <v>8498</v>
      </c>
      <c r="AD720" s="28" t="s">
        <v>8499</v>
      </c>
      <c r="AE720" s="54" t="s">
        <v>8500</v>
      </c>
      <c r="AF720" s="54"/>
      <c r="AG720" s="54" t="s">
        <v>8501</v>
      </c>
      <c r="AH720" s="53" t="s">
        <v>1591</v>
      </c>
      <c r="AI720" s="53" t="s">
        <v>2686</v>
      </c>
      <c r="AJ720" s="53" t="s">
        <v>1591</v>
      </c>
    </row>
    <row r="721" spans="1:36" s="3" customFormat="1" ht="132" x14ac:dyDescent="0.25">
      <c r="A721" s="17" t="s">
        <v>1071</v>
      </c>
      <c r="B721" s="18" t="s">
        <v>37</v>
      </c>
      <c r="C721" s="19" t="s">
        <v>1075</v>
      </c>
      <c r="D721" s="45" t="s">
        <v>1076</v>
      </c>
      <c r="E721" s="50">
        <v>0</v>
      </c>
      <c r="F721" s="58">
        <v>0</v>
      </c>
      <c r="G721" s="51">
        <v>0</v>
      </c>
      <c r="H721" s="51">
        <v>0</v>
      </c>
      <c r="I721" s="50" t="s">
        <v>1077</v>
      </c>
      <c r="J721" s="58" t="s">
        <v>1078</v>
      </c>
      <c r="K721" s="52" t="s">
        <v>1079</v>
      </c>
      <c r="L721" s="59">
        <v>42002</v>
      </c>
      <c r="M721" s="60">
        <v>42272</v>
      </c>
      <c r="N721" s="51">
        <v>509960.1</v>
      </c>
      <c r="O721" s="59">
        <v>0</v>
      </c>
      <c r="P721" s="59">
        <v>43082</v>
      </c>
      <c r="Q721" s="51">
        <v>0</v>
      </c>
      <c r="R721" s="51">
        <f>N721+Q721</f>
        <v>509960.1</v>
      </c>
      <c r="S721" s="51"/>
      <c r="T721" s="52" t="s">
        <v>1072</v>
      </c>
      <c r="U721" s="51"/>
      <c r="V721" s="51">
        <v>0</v>
      </c>
      <c r="W721" s="51">
        <v>0</v>
      </c>
      <c r="X721" s="51">
        <v>120680.53</v>
      </c>
      <c r="Y721" s="19" t="s">
        <v>330</v>
      </c>
      <c r="Z721" s="19"/>
      <c r="AA721" s="28" t="s">
        <v>8515</v>
      </c>
      <c r="AB721" s="56">
        <v>43426</v>
      </c>
      <c r="AC721" s="28" t="s">
        <v>8498</v>
      </c>
      <c r="AD721" s="28" t="s">
        <v>8499</v>
      </c>
      <c r="AE721" s="54" t="s">
        <v>8502</v>
      </c>
      <c r="AF721" s="54"/>
      <c r="AG721" s="54" t="s">
        <v>8503</v>
      </c>
      <c r="AH721" s="53" t="s">
        <v>1591</v>
      </c>
      <c r="AI721" s="53" t="s">
        <v>2686</v>
      </c>
      <c r="AJ721" s="53" t="s">
        <v>1591</v>
      </c>
    </row>
    <row r="722" spans="1:36" s="3" customFormat="1" ht="84" x14ac:dyDescent="0.25">
      <c r="A722" s="17" t="s">
        <v>1071</v>
      </c>
      <c r="B722" s="18" t="s">
        <v>37</v>
      </c>
      <c r="C722" s="76" t="s">
        <v>4908</v>
      </c>
      <c r="D722" s="45" t="s">
        <v>4909</v>
      </c>
      <c r="E722" s="78" t="s">
        <v>4910</v>
      </c>
      <c r="F722" s="79" t="s">
        <v>4911</v>
      </c>
      <c r="G722" s="80">
        <v>332060</v>
      </c>
      <c r="H722" s="80">
        <v>10270.93</v>
      </c>
      <c r="I722" s="78" t="s">
        <v>63</v>
      </c>
      <c r="J722" s="79" t="s">
        <v>4912</v>
      </c>
      <c r="K722" s="81" t="s">
        <v>4913</v>
      </c>
      <c r="L722" s="82">
        <v>40087</v>
      </c>
      <c r="M722" s="83">
        <v>40178</v>
      </c>
      <c r="N722" s="80">
        <v>303447.78999999998</v>
      </c>
      <c r="O722" s="82">
        <v>36524</v>
      </c>
      <c r="P722" s="84">
        <v>36524</v>
      </c>
      <c r="Q722" s="80">
        <v>0</v>
      </c>
      <c r="R722" s="80">
        <v>303447.78999999998</v>
      </c>
      <c r="S722" s="80"/>
      <c r="T722" s="81" t="s">
        <v>1072</v>
      </c>
      <c r="U722" s="80"/>
      <c r="V722" s="80"/>
      <c r="W722" s="80"/>
      <c r="X722" s="80">
        <v>136795.35</v>
      </c>
      <c r="Y722" s="76" t="s">
        <v>542</v>
      </c>
      <c r="Z722" s="19" t="s">
        <v>7038</v>
      </c>
      <c r="AA722" s="28" t="s">
        <v>8515</v>
      </c>
      <c r="AB722" s="56">
        <v>43426</v>
      </c>
      <c r="AC722" s="28" t="s">
        <v>8498</v>
      </c>
      <c r="AD722" s="28" t="s">
        <v>8499</v>
      </c>
      <c r="AE722" s="54" t="s">
        <v>8504</v>
      </c>
      <c r="AF722" s="54"/>
      <c r="AG722" s="54" t="s">
        <v>8505</v>
      </c>
      <c r="AH722" s="53" t="s">
        <v>1591</v>
      </c>
      <c r="AI722" s="53" t="s">
        <v>2686</v>
      </c>
      <c r="AJ722" s="53" t="s">
        <v>1591</v>
      </c>
    </row>
    <row r="723" spans="1:36" s="3" customFormat="1" ht="60" x14ac:dyDescent="0.25">
      <c r="A723" s="17" t="s">
        <v>1071</v>
      </c>
      <c r="B723" s="18" t="s">
        <v>37</v>
      </c>
      <c r="C723" s="19" t="s">
        <v>1080</v>
      </c>
      <c r="D723" s="45" t="s">
        <v>3476</v>
      </c>
      <c r="E723" s="50" t="s">
        <v>3768</v>
      </c>
      <c r="F723" s="58" t="s">
        <v>1402</v>
      </c>
      <c r="G723" s="51">
        <v>540000</v>
      </c>
      <c r="H723" s="51">
        <v>0</v>
      </c>
      <c r="I723" s="50" t="s">
        <v>3769</v>
      </c>
      <c r="J723" s="58" t="s">
        <v>3770</v>
      </c>
      <c r="K723" s="52" t="s">
        <v>3771</v>
      </c>
      <c r="L723" s="59">
        <v>42496</v>
      </c>
      <c r="M723" s="60">
        <v>42586</v>
      </c>
      <c r="N723" s="51">
        <v>276993</v>
      </c>
      <c r="O723" s="59">
        <v>0</v>
      </c>
      <c r="P723" s="59">
        <v>43126</v>
      </c>
      <c r="Q723" s="51">
        <v>0</v>
      </c>
      <c r="R723" s="51">
        <f>N723+Q723</f>
        <v>276993</v>
      </c>
      <c r="S723" s="51"/>
      <c r="T723" s="52" t="s">
        <v>1072</v>
      </c>
      <c r="U723" s="51"/>
      <c r="V723" s="51">
        <v>0</v>
      </c>
      <c r="W723" s="51">
        <v>0</v>
      </c>
      <c r="X723" s="51">
        <v>211555.15</v>
      </c>
      <c r="Y723" s="19" t="s">
        <v>330</v>
      </c>
      <c r="Z723" s="19"/>
      <c r="AA723" s="28" t="s">
        <v>8515</v>
      </c>
      <c r="AB723" s="56">
        <v>43426</v>
      </c>
      <c r="AC723" s="28" t="s">
        <v>8498</v>
      </c>
      <c r="AD723" s="28" t="s">
        <v>8499</v>
      </c>
      <c r="AE723" s="54" t="s">
        <v>8506</v>
      </c>
      <c r="AF723" s="54"/>
      <c r="AG723" s="54" t="s">
        <v>8507</v>
      </c>
      <c r="AH723" s="53" t="s">
        <v>1591</v>
      </c>
      <c r="AI723" s="53" t="s">
        <v>2686</v>
      </c>
      <c r="AJ723" s="53" t="s">
        <v>1591</v>
      </c>
    </row>
    <row r="724" spans="1:36" s="3" customFormat="1" ht="60" x14ac:dyDescent="0.25">
      <c r="A724" s="17" t="s">
        <v>1071</v>
      </c>
      <c r="B724" s="18" t="s">
        <v>37</v>
      </c>
      <c r="C724" s="76" t="s">
        <v>4914</v>
      </c>
      <c r="D724" s="45" t="s">
        <v>4915</v>
      </c>
      <c r="E724" s="78" t="s">
        <v>4916</v>
      </c>
      <c r="F724" s="79" t="s">
        <v>562</v>
      </c>
      <c r="G724" s="80">
        <v>200000</v>
      </c>
      <c r="H724" s="80">
        <v>10000</v>
      </c>
      <c r="I724" s="78" t="s">
        <v>4905</v>
      </c>
      <c r="J724" s="79" t="s">
        <v>4906</v>
      </c>
      <c r="K724" s="81" t="s">
        <v>4917</v>
      </c>
      <c r="L724" s="82">
        <v>40175</v>
      </c>
      <c r="M724" s="83">
        <v>40265</v>
      </c>
      <c r="N724" s="80">
        <v>202477.76</v>
      </c>
      <c r="O724" s="82">
        <v>36524</v>
      </c>
      <c r="P724" s="84">
        <v>42001</v>
      </c>
      <c r="Q724" s="80">
        <v>0</v>
      </c>
      <c r="R724" s="80">
        <v>202477.76</v>
      </c>
      <c r="S724" s="80"/>
      <c r="T724" s="81" t="s">
        <v>1072</v>
      </c>
      <c r="U724" s="80"/>
      <c r="V724" s="80"/>
      <c r="W724" s="80"/>
      <c r="X724" s="80">
        <v>100988.88</v>
      </c>
      <c r="Y724" s="76" t="s">
        <v>542</v>
      </c>
      <c r="Z724" s="19" t="s">
        <v>7038</v>
      </c>
      <c r="AA724" s="28" t="s">
        <v>8515</v>
      </c>
      <c r="AB724" s="56">
        <v>43426</v>
      </c>
      <c r="AC724" s="28" t="s">
        <v>8498</v>
      </c>
      <c r="AD724" s="28" t="s">
        <v>8499</v>
      </c>
      <c r="AE724" s="54" t="s">
        <v>8506</v>
      </c>
      <c r="AF724" s="54"/>
      <c r="AG724" s="54" t="s">
        <v>8508</v>
      </c>
      <c r="AH724" s="53" t="s">
        <v>1591</v>
      </c>
      <c r="AI724" s="53" t="s">
        <v>2686</v>
      </c>
      <c r="AJ724" s="53" t="s">
        <v>1591</v>
      </c>
    </row>
    <row r="725" spans="1:36" s="3" customFormat="1" ht="60" x14ac:dyDescent="0.25">
      <c r="A725" s="17" t="s">
        <v>1071</v>
      </c>
      <c r="B725" s="18" t="s">
        <v>37</v>
      </c>
      <c r="C725" s="76" t="s">
        <v>4918</v>
      </c>
      <c r="D725" s="45" t="s">
        <v>4919</v>
      </c>
      <c r="E725" s="78" t="s">
        <v>4920</v>
      </c>
      <c r="F725" s="79" t="s">
        <v>562</v>
      </c>
      <c r="G725" s="80">
        <v>141000</v>
      </c>
      <c r="H725" s="80">
        <v>11000</v>
      </c>
      <c r="I725" s="78" t="s">
        <v>1073</v>
      </c>
      <c r="J725" s="79" t="s">
        <v>4921</v>
      </c>
      <c r="K725" s="81" t="s">
        <v>4922</v>
      </c>
      <c r="L725" s="82">
        <v>39974</v>
      </c>
      <c r="M725" s="83">
        <v>40096</v>
      </c>
      <c r="N725" s="80">
        <v>138819.93</v>
      </c>
      <c r="O725" s="82">
        <v>36524</v>
      </c>
      <c r="P725" s="84">
        <v>42034</v>
      </c>
      <c r="Q725" s="80">
        <v>0</v>
      </c>
      <c r="R725" s="80">
        <v>138819.93</v>
      </c>
      <c r="S725" s="80"/>
      <c r="T725" s="81" t="s">
        <v>1072</v>
      </c>
      <c r="U725" s="80"/>
      <c r="V725" s="80"/>
      <c r="W725" s="80"/>
      <c r="X725" s="80">
        <v>82282.64</v>
      </c>
      <c r="Y725" s="76" t="s">
        <v>542</v>
      </c>
      <c r="Z725" s="19" t="s">
        <v>7038</v>
      </c>
      <c r="AA725" s="28" t="s">
        <v>8515</v>
      </c>
      <c r="AB725" s="56">
        <v>43426</v>
      </c>
      <c r="AC725" s="28" t="s">
        <v>8498</v>
      </c>
      <c r="AD725" s="28" t="s">
        <v>8499</v>
      </c>
      <c r="AE725" s="54" t="s">
        <v>8506</v>
      </c>
      <c r="AF725" s="54"/>
      <c r="AG725" s="54" t="s">
        <v>8509</v>
      </c>
      <c r="AH725" s="53" t="s">
        <v>1591</v>
      </c>
      <c r="AI725" s="53" t="s">
        <v>2686</v>
      </c>
      <c r="AJ725" s="53" t="s">
        <v>1591</v>
      </c>
    </row>
    <row r="726" spans="1:36" s="3" customFormat="1" ht="60" x14ac:dyDescent="0.25">
      <c r="A726" s="17" t="s">
        <v>1071</v>
      </c>
      <c r="B726" s="18" t="s">
        <v>37</v>
      </c>
      <c r="C726" s="19" t="s">
        <v>3474</v>
      </c>
      <c r="D726" s="45" t="s">
        <v>3475</v>
      </c>
      <c r="E726" s="50" t="s">
        <v>1402</v>
      </c>
      <c r="F726" s="58" t="s">
        <v>1402</v>
      </c>
      <c r="G726" s="51">
        <v>60000</v>
      </c>
      <c r="H726" s="51">
        <v>0</v>
      </c>
      <c r="I726" s="50" t="s">
        <v>2774</v>
      </c>
      <c r="J726" s="58" t="s">
        <v>2775</v>
      </c>
      <c r="K726" s="52" t="s">
        <v>2776</v>
      </c>
      <c r="L726" s="59">
        <v>41827</v>
      </c>
      <c r="M726" s="60">
        <v>41950</v>
      </c>
      <c r="N726" s="51">
        <v>105106.25</v>
      </c>
      <c r="O726" s="59">
        <v>0</v>
      </c>
      <c r="P726" s="59">
        <v>42192</v>
      </c>
      <c r="Q726" s="51">
        <v>0</v>
      </c>
      <c r="R726" s="51">
        <f>N726+Q726</f>
        <v>105106.25</v>
      </c>
      <c r="S726" s="51"/>
      <c r="T726" s="52" t="s">
        <v>1072</v>
      </c>
      <c r="U726" s="51"/>
      <c r="V726" s="51">
        <v>8175.72</v>
      </c>
      <c r="W726" s="51">
        <v>8175.72</v>
      </c>
      <c r="X726" s="51">
        <v>72879.289999999994</v>
      </c>
      <c r="Y726" s="19" t="s">
        <v>542</v>
      </c>
      <c r="Z726" s="19"/>
      <c r="AA726" s="28" t="s">
        <v>8515</v>
      </c>
      <c r="AB726" s="56">
        <v>43426</v>
      </c>
      <c r="AC726" s="28" t="s">
        <v>8498</v>
      </c>
      <c r="AD726" s="28" t="s">
        <v>8499</v>
      </c>
      <c r="AE726" s="54" t="s">
        <v>8506</v>
      </c>
      <c r="AF726" s="54"/>
      <c r="AG726" s="54" t="s">
        <v>8509</v>
      </c>
      <c r="AH726" s="53" t="s">
        <v>1591</v>
      </c>
      <c r="AI726" s="53" t="s">
        <v>2686</v>
      </c>
      <c r="AJ726" s="53" t="s">
        <v>1591</v>
      </c>
    </row>
    <row r="727" spans="1:36" s="3" customFormat="1" ht="48" x14ac:dyDescent="0.25">
      <c r="A727" s="17" t="s">
        <v>1081</v>
      </c>
      <c r="B727" s="18" t="s">
        <v>37</v>
      </c>
      <c r="C727" s="19" t="s">
        <v>57</v>
      </c>
      <c r="D727" s="45" t="s">
        <v>3477</v>
      </c>
      <c r="E727" s="50"/>
      <c r="F727" s="58" t="s">
        <v>661</v>
      </c>
      <c r="G727" s="51">
        <v>309154.21000000002</v>
      </c>
      <c r="H727" s="51">
        <v>253849.61</v>
      </c>
      <c r="I727" s="50" t="s">
        <v>772</v>
      </c>
      <c r="J727" s="58" t="s">
        <v>3773</v>
      </c>
      <c r="K727" s="52" t="s">
        <v>80</v>
      </c>
      <c r="L727" s="59">
        <v>42248</v>
      </c>
      <c r="M727" s="60">
        <f>L727+150</f>
        <v>42398</v>
      </c>
      <c r="N727" s="51">
        <v>539865.31000000006</v>
      </c>
      <c r="O727" s="59"/>
      <c r="P727" s="59">
        <f>M727+750</f>
        <v>43148</v>
      </c>
      <c r="Q727" s="51"/>
      <c r="R727" s="51">
        <f>N727+Q727</f>
        <v>539865.31000000006</v>
      </c>
      <c r="S727" s="51"/>
      <c r="T727" s="52" t="s">
        <v>32</v>
      </c>
      <c r="U727" s="51">
        <v>31249.63</v>
      </c>
      <c r="V727" s="51">
        <v>19126.39</v>
      </c>
      <c r="W727" s="51">
        <v>19126.39</v>
      </c>
      <c r="X727" s="51">
        <v>382644.76</v>
      </c>
      <c r="Y727" s="19"/>
      <c r="Z727" s="19"/>
      <c r="AA727" s="28" t="s">
        <v>7653</v>
      </c>
      <c r="AB727" s="56">
        <v>43413</v>
      </c>
      <c r="AC727" s="28" t="s">
        <v>7654</v>
      </c>
      <c r="AD727" s="28" t="s">
        <v>7655</v>
      </c>
      <c r="AE727" s="54" t="s">
        <v>7656</v>
      </c>
      <c r="AF727" s="54"/>
      <c r="AG727" s="54" t="s">
        <v>7657</v>
      </c>
      <c r="AH727" s="53" t="s">
        <v>1591</v>
      </c>
      <c r="AI727" s="53" t="s">
        <v>2686</v>
      </c>
      <c r="AJ727" s="53" t="s">
        <v>1591</v>
      </c>
    </row>
    <row r="728" spans="1:36" s="3" customFormat="1" ht="48" x14ac:dyDescent="0.25">
      <c r="A728" s="35" t="s">
        <v>2838</v>
      </c>
      <c r="B728" s="18" t="s">
        <v>37</v>
      </c>
      <c r="C728" s="76"/>
      <c r="D728" s="43" t="s">
        <v>4923</v>
      </c>
      <c r="E728" s="78"/>
      <c r="F728" s="36"/>
      <c r="G728" s="80"/>
      <c r="H728" s="80"/>
      <c r="I728" s="36" t="s">
        <v>916</v>
      </c>
      <c r="J728" s="34" t="s">
        <v>4924</v>
      </c>
      <c r="K728" s="37">
        <v>36</v>
      </c>
      <c r="L728" s="38">
        <v>41925</v>
      </c>
      <c r="M728" s="39">
        <v>42290</v>
      </c>
      <c r="N728" s="42">
        <v>501938.73</v>
      </c>
      <c r="O728" s="85"/>
      <c r="P728" s="86"/>
      <c r="Q728" s="41"/>
      <c r="R728" s="41">
        <v>501938.73</v>
      </c>
      <c r="S728" s="80"/>
      <c r="T728" s="81"/>
      <c r="U728" s="80"/>
      <c r="V728" s="80"/>
      <c r="W728" s="42"/>
      <c r="X728" s="42"/>
      <c r="Y728" s="34" t="s">
        <v>4321</v>
      </c>
      <c r="Z728" s="19" t="s">
        <v>7038</v>
      </c>
      <c r="AA728" s="28"/>
      <c r="AB728" s="56"/>
      <c r="AC728" s="28"/>
      <c r="AD728" s="28"/>
      <c r="AE728" s="54"/>
      <c r="AF728" s="54"/>
      <c r="AG728" s="54"/>
      <c r="AH728" s="53"/>
      <c r="AI728" s="53" t="s">
        <v>1591</v>
      </c>
      <c r="AJ728" s="53" t="s">
        <v>1591</v>
      </c>
    </row>
    <row r="729" spans="1:36" s="3" customFormat="1" ht="180" x14ac:dyDescent="0.25">
      <c r="A729" s="17" t="s">
        <v>1089</v>
      </c>
      <c r="B729" s="18" t="s">
        <v>37</v>
      </c>
      <c r="C729" s="19" t="s">
        <v>1259</v>
      </c>
      <c r="D729" s="45" t="s">
        <v>2870</v>
      </c>
      <c r="E729" s="50" t="s">
        <v>2947</v>
      </c>
      <c r="F729" s="58" t="s">
        <v>70</v>
      </c>
      <c r="G729" s="68">
        <v>255740</v>
      </c>
      <c r="H729" s="68">
        <v>20158.400000000001</v>
      </c>
      <c r="I729" s="50" t="s">
        <v>1225</v>
      </c>
      <c r="J729" s="58" t="s">
        <v>2871</v>
      </c>
      <c r="K729" s="52" t="s">
        <v>1821</v>
      </c>
      <c r="L729" s="59">
        <v>42139</v>
      </c>
      <c r="M729" s="60">
        <f>L729+180</f>
        <v>42319</v>
      </c>
      <c r="N729" s="68">
        <v>275898.40000000002</v>
      </c>
      <c r="O729" s="59" t="s">
        <v>46</v>
      </c>
      <c r="P729" s="59">
        <v>0</v>
      </c>
      <c r="Q729" s="68"/>
      <c r="R729" s="51">
        <f t="shared" ref="R729:R738" si="28">N729+Q729</f>
        <v>275898.40000000002</v>
      </c>
      <c r="S729" s="51" t="s">
        <v>46</v>
      </c>
      <c r="T729" s="52" t="s">
        <v>52</v>
      </c>
      <c r="U729" s="51">
        <v>0</v>
      </c>
      <c r="V729" s="51">
        <v>0</v>
      </c>
      <c r="W729" s="51">
        <v>0</v>
      </c>
      <c r="X729" s="51">
        <v>215417.23</v>
      </c>
      <c r="Y729" s="19" t="s">
        <v>175</v>
      </c>
      <c r="Z729" s="19"/>
      <c r="AA729" s="28" t="s">
        <v>7658</v>
      </c>
      <c r="AB729" s="56">
        <v>43409</v>
      </c>
      <c r="AC729" s="28" t="s">
        <v>7659</v>
      </c>
      <c r="AD729" s="28" t="s">
        <v>7660</v>
      </c>
      <c r="AE729" s="54" t="s">
        <v>7661</v>
      </c>
      <c r="AF729" s="54"/>
      <c r="AG729" s="54" t="s">
        <v>7662</v>
      </c>
      <c r="AH729" s="53" t="s">
        <v>1591</v>
      </c>
      <c r="AI729" s="53" t="s">
        <v>2686</v>
      </c>
      <c r="AJ729" s="53" t="s">
        <v>1591</v>
      </c>
    </row>
    <row r="730" spans="1:36" s="3" customFormat="1" ht="36" x14ac:dyDescent="0.25">
      <c r="A730" s="17" t="s">
        <v>2716</v>
      </c>
      <c r="B730" s="18" t="s">
        <v>37</v>
      </c>
      <c r="C730" s="19" t="s">
        <v>3409</v>
      </c>
      <c r="D730" s="45" t="s">
        <v>3479</v>
      </c>
      <c r="E730" s="50" t="s">
        <v>46</v>
      </c>
      <c r="F730" s="58" t="s">
        <v>46</v>
      </c>
      <c r="G730" s="51" t="s">
        <v>46</v>
      </c>
      <c r="H730" s="51" t="s">
        <v>46</v>
      </c>
      <c r="I730" s="50" t="s">
        <v>648</v>
      </c>
      <c r="J730" s="58" t="s">
        <v>3776</v>
      </c>
      <c r="K730" s="52" t="s">
        <v>3777</v>
      </c>
      <c r="L730" s="59">
        <v>42930</v>
      </c>
      <c r="M730" s="60">
        <f t="shared" ref="M730:M737" si="29">L730+365</f>
        <v>43295</v>
      </c>
      <c r="N730" s="51">
        <v>3000000</v>
      </c>
      <c r="O730" s="59">
        <v>42970</v>
      </c>
      <c r="P730" s="59">
        <v>0</v>
      </c>
      <c r="Q730" s="51"/>
      <c r="R730" s="51">
        <f t="shared" si="28"/>
        <v>3000000</v>
      </c>
      <c r="S730" s="51" t="s">
        <v>46</v>
      </c>
      <c r="T730" s="52" t="s">
        <v>3930</v>
      </c>
      <c r="U730" s="51">
        <v>6829.8</v>
      </c>
      <c r="V730" s="51">
        <v>6829.8</v>
      </c>
      <c r="W730" s="51">
        <v>6829.8</v>
      </c>
      <c r="X730" s="51">
        <v>6829.8</v>
      </c>
      <c r="Y730" s="19" t="s">
        <v>149</v>
      </c>
      <c r="Z730" s="19"/>
      <c r="AA730" s="28"/>
      <c r="AB730" s="56"/>
      <c r="AC730" s="28"/>
      <c r="AD730" s="28"/>
      <c r="AE730" s="54"/>
      <c r="AF730" s="54"/>
      <c r="AG730" s="54"/>
      <c r="AH730" s="53"/>
      <c r="AI730" s="53" t="s">
        <v>1591</v>
      </c>
      <c r="AJ730" s="53" t="s">
        <v>1591</v>
      </c>
    </row>
    <row r="731" spans="1:36" s="3" customFormat="1" ht="36" x14ac:dyDescent="0.25">
      <c r="A731" s="35" t="s">
        <v>2716</v>
      </c>
      <c r="B731" s="34" t="s">
        <v>37</v>
      </c>
      <c r="C731" s="19" t="s">
        <v>3409</v>
      </c>
      <c r="D731" s="43" t="s">
        <v>3480</v>
      </c>
      <c r="E731" s="50" t="s">
        <v>46</v>
      </c>
      <c r="F731" s="36" t="s">
        <v>46</v>
      </c>
      <c r="G731" s="51" t="s">
        <v>46</v>
      </c>
      <c r="H731" s="51" t="s">
        <v>46</v>
      </c>
      <c r="I731" s="36" t="s">
        <v>648</v>
      </c>
      <c r="J731" s="34" t="s">
        <v>3776</v>
      </c>
      <c r="K731" s="37" t="s">
        <v>3777</v>
      </c>
      <c r="L731" s="38">
        <v>42933</v>
      </c>
      <c r="M731" s="39">
        <f t="shared" si="29"/>
        <v>43298</v>
      </c>
      <c r="N731" s="42">
        <v>3000000</v>
      </c>
      <c r="O731" s="74">
        <v>42970</v>
      </c>
      <c r="P731" s="39">
        <v>0</v>
      </c>
      <c r="Q731" s="41"/>
      <c r="R731" s="51">
        <f t="shared" si="28"/>
        <v>3000000</v>
      </c>
      <c r="S731" s="51" t="s">
        <v>46</v>
      </c>
      <c r="T731" s="52" t="s">
        <v>3930</v>
      </c>
      <c r="U731" s="51">
        <v>20077.84</v>
      </c>
      <c r="V731" s="51">
        <v>26907.64</v>
      </c>
      <c r="W731" s="42">
        <v>26907.64</v>
      </c>
      <c r="X731" s="42">
        <v>26907.64</v>
      </c>
      <c r="Y731" s="34" t="s">
        <v>149</v>
      </c>
      <c r="Z731" s="34"/>
      <c r="AA731" s="28"/>
      <c r="AB731" s="56"/>
      <c r="AC731" s="28"/>
      <c r="AD731" s="28"/>
      <c r="AE731" s="54"/>
      <c r="AF731" s="54"/>
      <c r="AG731" s="54"/>
      <c r="AH731" s="53"/>
      <c r="AI731" s="53" t="s">
        <v>1591</v>
      </c>
      <c r="AJ731" s="53" t="s">
        <v>1591</v>
      </c>
    </row>
    <row r="732" spans="1:36" s="3" customFormat="1" ht="36" x14ac:dyDescent="0.25">
      <c r="A732" s="17" t="s">
        <v>2716</v>
      </c>
      <c r="B732" s="18" t="s">
        <v>37</v>
      </c>
      <c r="C732" s="19" t="s">
        <v>3409</v>
      </c>
      <c r="D732" s="45" t="s">
        <v>3481</v>
      </c>
      <c r="E732" s="50" t="s">
        <v>46</v>
      </c>
      <c r="F732" s="58" t="s">
        <v>46</v>
      </c>
      <c r="G732" s="51" t="s">
        <v>46</v>
      </c>
      <c r="H732" s="51" t="s">
        <v>46</v>
      </c>
      <c r="I732" s="50" t="s">
        <v>648</v>
      </c>
      <c r="J732" s="58" t="s">
        <v>3776</v>
      </c>
      <c r="K732" s="52" t="s">
        <v>3777</v>
      </c>
      <c r="L732" s="59">
        <v>42935</v>
      </c>
      <c r="M732" s="60">
        <f t="shared" si="29"/>
        <v>43300</v>
      </c>
      <c r="N732" s="51">
        <v>3000000</v>
      </c>
      <c r="O732" s="59">
        <v>42970</v>
      </c>
      <c r="P732" s="59">
        <v>0</v>
      </c>
      <c r="Q732" s="51"/>
      <c r="R732" s="51">
        <f t="shared" si="28"/>
        <v>3000000</v>
      </c>
      <c r="S732" s="51" t="s">
        <v>46</v>
      </c>
      <c r="T732" s="52" t="s">
        <v>3930</v>
      </c>
      <c r="U732" s="51">
        <v>3329.73</v>
      </c>
      <c r="V732" s="51">
        <v>30237.37</v>
      </c>
      <c r="W732" s="51">
        <v>30237.37</v>
      </c>
      <c r="X732" s="51">
        <v>30237.37</v>
      </c>
      <c r="Y732" s="19" t="s">
        <v>149</v>
      </c>
      <c r="Z732" s="19"/>
      <c r="AA732" s="28"/>
      <c r="AB732" s="56"/>
      <c r="AC732" s="28"/>
      <c r="AD732" s="28"/>
      <c r="AE732" s="54"/>
      <c r="AF732" s="54"/>
      <c r="AG732" s="54"/>
      <c r="AH732" s="53"/>
      <c r="AI732" s="53" t="s">
        <v>1591</v>
      </c>
      <c r="AJ732" s="53" t="s">
        <v>1591</v>
      </c>
    </row>
    <row r="733" spans="1:36" s="3" customFormat="1" ht="36" x14ac:dyDescent="0.25">
      <c r="A733" s="17" t="s">
        <v>2716</v>
      </c>
      <c r="B733" s="18" t="s">
        <v>37</v>
      </c>
      <c r="C733" s="19" t="s">
        <v>3409</v>
      </c>
      <c r="D733" s="45" t="s">
        <v>3482</v>
      </c>
      <c r="E733" s="50" t="s">
        <v>46</v>
      </c>
      <c r="F733" s="58" t="s">
        <v>46</v>
      </c>
      <c r="G733" s="51" t="s">
        <v>46</v>
      </c>
      <c r="H733" s="51" t="s">
        <v>46</v>
      </c>
      <c r="I733" s="50" t="s">
        <v>648</v>
      </c>
      <c r="J733" s="58" t="s">
        <v>3776</v>
      </c>
      <c r="K733" s="52" t="s">
        <v>3777</v>
      </c>
      <c r="L733" s="59">
        <v>42936</v>
      </c>
      <c r="M733" s="60">
        <f t="shared" si="29"/>
        <v>43301</v>
      </c>
      <c r="N733" s="51">
        <v>3000000</v>
      </c>
      <c r="O733" s="59">
        <v>42970</v>
      </c>
      <c r="P733" s="59">
        <v>0</v>
      </c>
      <c r="Q733" s="51"/>
      <c r="R733" s="51">
        <f t="shared" si="28"/>
        <v>3000000</v>
      </c>
      <c r="S733" s="51" t="s">
        <v>46</v>
      </c>
      <c r="T733" s="52" t="s">
        <v>3930</v>
      </c>
      <c r="U733" s="51">
        <v>63508.73</v>
      </c>
      <c r="V733" s="51">
        <v>93746.1</v>
      </c>
      <c r="W733" s="51">
        <v>93746.1</v>
      </c>
      <c r="X733" s="51">
        <v>93746.1</v>
      </c>
      <c r="Y733" s="19" t="s">
        <v>149</v>
      </c>
      <c r="Z733" s="19"/>
      <c r="AA733" s="28"/>
      <c r="AB733" s="56"/>
      <c r="AC733" s="28"/>
      <c r="AD733" s="28"/>
      <c r="AE733" s="54"/>
      <c r="AF733" s="54"/>
      <c r="AG733" s="54"/>
      <c r="AH733" s="53"/>
      <c r="AI733" s="53" t="s">
        <v>1591</v>
      </c>
      <c r="AJ733" s="53" t="s">
        <v>1591</v>
      </c>
    </row>
    <row r="734" spans="1:36" s="3" customFormat="1" ht="36" x14ac:dyDescent="0.25">
      <c r="A734" s="17" t="s">
        <v>2716</v>
      </c>
      <c r="B734" s="18" t="s">
        <v>37</v>
      </c>
      <c r="C734" s="19" t="s">
        <v>3409</v>
      </c>
      <c r="D734" s="45" t="s">
        <v>3483</v>
      </c>
      <c r="E734" s="50" t="s">
        <v>46</v>
      </c>
      <c r="F734" s="58" t="s">
        <v>46</v>
      </c>
      <c r="G734" s="51" t="s">
        <v>46</v>
      </c>
      <c r="H734" s="51" t="s">
        <v>46</v>
      </c>
      <c r="I734" s="50" t="s">
        <v>648</v>
      </c>
      <c r="J734" s="58" t="s">
        <v>3776</v>
      </c>
      <c r="K734" s="52" t="s">
        <v>3777</v>
      </c>
      <c r="L734" s="59">
        <v>42941</v>
      </c>
      <c r="M734" s="60">
        <f t="shared" si="29"/>
        <v>43306</v>
      </c>
      <c r="N734" s="51">
        <v>3000000</v>
      </c>
      <c r="O734" s="59">
        <v>42970</v>
      </c>
      <c r="P734" s="59">
        <v>0</v>
      </c>
      <c r="Q734" s="51"/>
      <c r="R734" s="51">
        <f t="shared" si="28"/>
        <v>3000000</v>
      </c>
      <c r="S734" s="51" t="s">
        <v>46</v>
      </c>
      <c r="T734" s="52" t="s">
        <v>3930</v>
      </c>
      <c r="U734" s="51">
        <v>2051.5</v>
      </c>
      <c r="V734" s="51">
        <v>95797.6</v>
      </c>
      <c r="W734" s="51">
        <v>95797.6</v>
      </c>
      <c r="X734" s="51">
        <v>95797.6</v>
      </c>
      <c r="Y734" s="19" t="s">
        <v>149</v>
      </c>
      <c r="Z734" s="19"/>
      <c r="AA734" s="28"/>
      <c r="AB734" s="56"/>
      <c r="AC734" s="28"/>
      <c r="AD734" s="28"/>
      <c r="AE734" s="54"/>
      <c r="AF734" s="54"/>
      <c r="AG734" s="54"/>
      <c r="AH734" s="53"/>
      <c r="AI734" s="53" t="s">
        <v>1591</v>
      </c>
      <c r="AJ734" s="53" t="s">
        <v>1591</v>
      </c>
    </row>
    <row r="735" spans="1:36" s="3" customFormat="1" ht="36" x14ac:dyDescent="0.25">
      <c r="A735" s="17" t="s">
        <v>2716</v>
      </c>
      <c r="B735" s="18" t="s">
        <v>37</v>
      </c>
      <c r="C735" s="19" t="s">
        <v>3409</v>
      </c>
      <c r="D735" s="45" t="s">
        <v>3484</v>
      </c>
      <c r="E735" s="50" t="s">
        <v>46</v>
      </c>
      <c r="F735" s="58" t="s">
        <v>46</v>
      </c>
      <c r="G735" s="51" t="s">
        <v>46</v>
      </c>
      <c r="H735" s="51" t="s">
        <v>46</v>
      </c>
      <c r="I735" s="50" t="s">
        <v>648</v>
      </c>
      <c r="J735" s="58" t="s">
        <v>3776</v>
      </c>
      <c r="K735" s="52" t="s">
        <v>3777</v>
      </c>
      <c r="L735" s="59">
        <v>42963</v>
      </c>
      <c r="M735" s="60">
        <f t="shared" si="29"/>
        <v>43328</v>
      </c>
      <c r="N735" s="51">
        <v>3000000</v>
      </c>
      <c r="O735" s="59">
        <v>42970</v>
      </c>
      <c r="P735" s="59">
        <v>0</v>
      </c>
      <c r="Q735" s="51"/>
      <c r="R735" s="51">
        <f t="shared" si="28"/>
        <v>3000000</v>
      </c>
      <c r="S735" s="51" t="s">
        <v>46</v>
      </c>
      <c r="T735" s="52" t="s">
        <v>3930</v>
      </c>
      <c r="U735" s="51">
        <v>19910.91</v>
      </c>
      <c r="V735" s="51">
        <v>115708.51</v>
      </c>
      <c r="W735" s="51">
        <v>115708.51</v>
      </c>
      <c r="X735" s="51">
        <v>115708.51</v>
      </c>
      <c r="Y735" s="19" t="s">
        <v>149</v>
      </c>
      <c r="Z735" s="19"/>
      <c r="AA735" s="28"/>
      <c r="AB735" s="56"/>
      <c r="AC735" s="28"/>
      <c r="AD735" s="28"/>
      <c r="AE735" s="54"/>
      <c r="AF735" s="54"/>
      <c r="AG735" s="54"/>
      <c r="AH735" s="53"/>
      <c r="AI735" s="53" t="s">
        <v>1591</v>
      </c>
      <c r="AJ735" s="53" t="s">
        <v>1591</v>
      </c>
    </row>
    <row r="736" spans="1:36" s="3" customFormat="1" ht="36" x14ac:dyDescent="0.25">
      <c r="A736" s="17" t="s">
        <v>2716</v>
      </c>
      <c r="B736" s="18" t="s">
        <v>37</v>
      </c>
      <c r="C736" s="19" t="s">
        <v>3409</v>
      </c>
      <c r="D736" s="45" t="s">
        <v>3485</v>
      </c>
      <c r="E736" s="50" t="s">
        <v>46</v>
      </c>
      <c r="F736" s="58" t="s">
        <v>46</v>
      </c>
      <c r="G736" s="51" t="s">
        <v>46</v>
      </c>
      <c r="H736" s="51" t="s">
        <v>46</v>
      </c>
      <c r="I736" s="50" t="s">
        <v>648</v>
      </c>
      <c r="J736" s="58" t="s">
        <v>3776</v>
      </c>
      <c r="K736" s="52" t="s">
        <v>3777</v>
      </c>
      <c r="L736" s="59">
        <v>42934</v>
      </c>
      <c r="M736" s="60">
        <f t="shared" si="29"/>
        <v>43299</v>
      </c>
      <c r="N736" s="51">
        <v>3000000</v>
      </c>
      <c r="O736" s="59">
        <v>42996</v>
      </c>
      <c r="P736" s="59">
        <v>0</v>
      </c>
      <c r="Q736" s="51"/>
      <c r="R736" s="51">
        <f t="shared" si="28"/>
        <v>3000000</v>
      </c>
      <c r="S736" s="51" t="s">
        <v>46</v>
      </c>
      <c r="T736" s="52" t="s">
        <v>3930</v>
      </c>
      <c r="U736" s="51">
        <v>58672.47</v>
      </c>
      <c r="V736" s="51">
        <v>174380.98</v>
      </c>
      <c r="W736" s="51">
        <v>174380.98</v>
      </c>
      <c r="X736" s="51">
        <v>174380.98</v>
      </c>
      <c r="Y736" s="19" t="s">
        <v>149</v>
      </c>
      <c r="Z736" s="19"/>
      <c r="AA736" s="28"/>
      <c r="AB736" s="56"/>
      <c r="AC736" s="28"/>
      <c r="AD736" s="28"/>
      <c r="AE736" s="54"/>
      <c r="AF736" s="54"/>
      <c r="AG736" s="54"/>
      <c r="AH736" s="53"/>
      <c r="AI736" s="53" t="s">
        <v>1591</v>
      </c>
      <c r="AJ736" s="53" t="s">
        <v>1591</v>
      </c>
    </row>
    <row r="737" spans="1:36" s="3" customFormat="1" ht="36" x14ac:dyDescent="0.25">
      <c r="A737" s="17" t="s">
        <v>2716</v>
      </c>
      <c r="B737" s="18" t="s">
        <v>37</v>
      </c>
      <c r="C737" s="19" t="s">
        <v>3409</v>
      </c>
      <c r="D737" s="45" t="s">
        <v>3486</v>
      </c>
      <c r="E737" s="50" t="s">
        <v>46</v>
      </c>
      <c r="F737" s="58" t="s">
        <v>46</v>
      </c>
      <c r="G737" s="51" t="s">
        <v>46</v>
      </c>
      <c r="H737" s="51" t="s">
        <v>46</v>
      </c>
      <c r="I737" s="50" t="s">
        <v>648</v>
      </c>
      <c r="J737" s="58" t="s">
        <v>3776</v>
      </c>
      <c r="K737" s="52" t="s">
        <v>3777</v>
      </c>
      <c r="L737" s="59">
        <v>42942</v>
      </c>
      <c r="M737" s="60">
        <f t="shared" si="29"/>
        <v>43307</v>
      </c>
      <c r="N737" s="51">
        <v>3000000</v>
      </c>
      <c r="O737" s="59">
        <v>43031</v>
      </c>
      <c r="P737" s="59">
        <v>0</v>
      </c>
      <c r="Q737" s="51"/>
      <c r="R737" s="51">
        <f t="shared" si="28"/>
        <v>3000000</v>
      </c>
      <c r="S737" s="51" t="s">
        <v>46</v>
      </c>
      <c r="T737" s="52" t="s">
        <v>3931</v>
      </c>
      <c r="U737" s="51">
        <v>29516.26</v>
      </c>
      <c r="V737" s="51">
        <v>203897.24</v>
      </c>
      <c r="W737" s="51">
        <v>203897.24</v>
      </c>
      <c r="X737" s="51">
        <v>203897.24</v>
      </c>
      <c r="Y737" s="19" t="s">
        <v>149</v>
      </c>
      <c r="Z737" s="19"/>
      <c r="AA737" s="28"/>
      <c r="AB737" s="56"/>
      <c r="AC737" s="28"/>
      <c r="AD737" s="28"/>
      <c r="AE737" s="54"/>
      <c r="AF737" s="54"/>
      <c r="AG737" s="54"/>
      <c r="AH737" s="53"/>
      <c r="AI737" s="53" t="s">
        <v>1591</v>
      </c>
      <c r="AJ737" s="53" t="s">
        <v>1591</v>
      </c>
    </row>
    <row r="738" spans="1:36" s="3" customFormat="1" ht="36" x14ac:dyDescent="0.25">
      <c r="A738" s="17" t="s">
        <v>2716</v>
      </c>
      <c r="B738" s="18" t="s">
        <v>37</v>
      </c>
      <c r="C738" s="19" t="s">
        <v>3409</v>
      </c>
      <c r="D738" s="45" t="s">
        <v>3487</v>
      </c>
      <c r="E738" s="50" t="s">
        <v>46</v>
      </c>
      <c r="F738" s="58" t="s">
        <v>46</v>
      </c>
      <c r="G738" s="51" t="s">
        <v>46</v>
      </c>
      <c r="H738" s="51" t="s">
        <v>46</v>
      </c>
      <c r="I738" s="50" t="s">
        <v>648</v>
      </c>
      <c r="J738" s="58" t="s">
        <v>3776</v>
      </c>
      <c r="K738" s="52" t="s">
        <v>3777</v>
      </c>
      <c r="L738" s="59"/>
      <c r="M738" s="60"/>
      <c r="N738" s="51">
        <v>3000000</v>
      </c>
      <c r="O738" s="59">
        <v>43097</v>
      </c>
      <c r="P738" s="59">
        <v>0</v>
      </c>
      <c r="Q738" s="51"/>
      <c r="R738" s="51">
        <f t="shared" si="28"/>
        <v>3000000</v>
      </c>
      <c r="S738" s="51" t="s">
        <v>46</v>
      </c>
      <c r="T738" s="52" t="s">
        <v>3932</v>
      </c>
      <c r="U738" s="51">
        <v>10532.97</v>
      </c>
      <c r="V738" s="51">
        <v>393735.86</v>
      </c>
      <c r="W738" s="51">
        <v>393735.86</v>
      </c>
      <c r="X738" s="51">
        <v>393735.86</v>
      </c>
      <c r="Y738" s="19" t="s">
        <v>149</v>
      </c>
      <c r="Z738" s="19"/>
      <c r="AA738" s="28"/>
      <c r="AB738" s="56"/>
      <c r="AC738" s="28"/>
      <c r="AD738" s="28"/>
      <c r="AE738" s="54"/>
      <c r="AF738" s="54"/>
      <c r="AG738" s="54"/>
      <c r="AH738" s="53"/>
      <c r="AI738" s="53" t="s">
        <v>1591</v>
      </c>
      <c r="AJ738" s="53" t="s">
        <v>1591</v>
      </c>
    </row>
    <row r="739" spans="1:36" s="3" customFormat="1" ht="36" x14ac:dyDescent="0.25">
      <c r="A739" s="35" t="s">
        <v>2716</v>
      </c>
      <c r="B739" s="18" t="s">
        <v>37</v>
      </c>
      <c r="C739" s="76"/>
      <c r="D739" s="43" t="s">
        <v>4926</v>
      </c>
      <c r="E739" s="78"/>
      <c r="F739" s="36" t="s">
        <v>4927</v>
      </c>
      <c r="G739" s="80"/>
      <c r="H739" s="80"/>
      <c r="I739" s="36" t="s">
        <v>2717</v>
      </c>
      <c r="J739" s="34" t="s">
        <v>4928</v>
      </c>
      <c r="K739" s="37" t="s">
        <v>4929</v>
      </c>
      <c r="L739" s="38">
        <v>42184</v>
      </c>
      <c r="M739" s="39">
        <v>42364</v>
      </c>
      <c r="N739" s="42">
        <v>2069872.13</v>
      </c>
      <c r="O739" s="85">
        <v>42367</v>
      </c>
      <c r="P739" s="86">
        <v>42544</v>
      </c>
      <c r="Q739" s="41"/>
      <c r="R739" s="41">
        <v>2069872.13</v>
      </c>
      <c r="S739" s="80"/>
      <c r="T739" s="81"/>
      <c r="U739" s="80"/>
      <c r="V739" s="80"/>
      <c r="W739" s="42"/>
      <c r="X739" s="42"/>
      <c r="Y739" s="34" t="s">
        <v>4321</v>
      </c>
      <c r="Z739" s="19" t="s">
        <v>7038</v>
      </c>
      <c r="AA739" s="28"/>
      <c r="AB739" s="56"/>
      <c r="AC739" s="28"/>
      <c r="AD739" s="28"/>
      <c r="AE739" s="54"/>
      <c r="AF739" s="54"/>
      <c r="AG739" s="54"/>
      <c r="AH739" s="53"/>
      <c r="AI739" s="53" t="s">
        <v>1591</v>
      </c>
      <c r="AJ739" s="53" t="s">
        <v>1591</v>
      </c>
    </row>
    <row r="740" spans="1:36" s="3" customFormat="1" ht="24" x14ac:dyDescent="0.25">
      <c r="A740" s="17" t="s">
        <v>2716</v>
      </c>
      <c r="B740" s="18" t="s">
        <v>37</v>
      </c>
      <c r="C740" s="19" t="s">
        <v>1588</v>
      </c>
      <c r="D740" s="45" t="s">
        <v>3478</v>
      </c>
      <c r="E740" s="50" t="s">
        <v>3774</v>
      </c>
      <c r="F740" s="58" t="s">
        <v>43</v>
      </c>
      <c r="G740" s="51">
        <v>1959902.26</v>
      </c>
      <c r="H740" s="51">
        <v>43833.1</v>
      </c>
      <c r="I740" s="50" t="s">
        <v>852</v>
      </c>
      <c r="J740" s="58" t="s">
        <v>3775</v>
      </c>
      <c r="K740" s="52" t="s">
        <v>656</v>
      </c>
      <c r="L740" s="59">
        <v>42415</v>
      </c>
      <c r="M740" s="60">
        <f>L740+300</f>
        <v>42715</v>
      </c>
      <c r="N740" s="51">
        <v>1763084.25</v>
      </c>
      <c r="O740" s="59" t="s">
        <v>3909</v>
      </c>
      <c r="P740" s="59">
        <f>M740+1122</f>
        <v>43837</v>
      </c>
      <c r="Q740" s="51">
        <v>43833.1</v>
      </c>
      <c r="R740" s="51">
        <f>N740+Q740</f>
        <v>1806917.35</v>
      </c>
      <c r="S740" s="51">
        <v>1806917.35</v>
      </c>
      <c r="T740" s="52" t="s">
        <v>3930</v>
      </c>
      <c r="U740" s="51">
        <v>154279.69</v>
      </c>
      <c r="V740" s="51">
        <v>154279.69</v>
      </c>
      <c r="W740" s="51">
        <v>154279.69</v>
      </c>
      <c r="X740" s="51">
        <v>431330.4</v>
      </c>
      <c r="Y740" s="19" t="s">
        <v>175</v>
      </c>
      <c r="Z740" s="19"/>
      <c r="AA740" s="28"/>
      <c r="AB740" s="56"/>
      <c r="AC740" s="28"/>
      <c r="AD740" s="28"/>
      <c r="AE740" s="54"/>
      <c r="AF740" s="54"/>
      <c r="AG740" s="54"/>
      <c r="AH740" s="53"/>
      <c r="AI740" s="53" t="s">
        <v>1591</v>
      </c>
      <c r="AJ740" s="53" t="s">
        <v>1591</v>
      </c>
    </row>
    <row r="741" spans="1:36" s="3" customFormat="1" ht="84" x14ac:dyDescent="0.25">
      <c r="A741" s="17" t="s">
        <v>1090</v>
      </c>
      <c r="B741" s="18" t="s">
        <v>1091</v>
      </c>
      <c r="C741" s="76" t="s">
        <v>709</v>
      </c>
      <c r="D741" s="45" t="s">
        <v>4931</v>
      </c>
      <c r="E741" s="78" t="s">
        <v>46</v>
      </c>
      <c r="F741" s="79" t="s">
        <v>46</v>
      </c>
      <c r="G741" s="80" t="s">
        <v>46</v>
      </c>
      <c r="H741" s="80" t="s">
        <v>46</v>
      </c>
      <c r="I741" s="78" t="s">
        <v>4932</v>
      </c>
      <c r="J741" s="79" t="s">
        <v>4933</v>
      </c>
      <c r="K741" s="81" t="s">
        <v>1092</v>
      </c>
      <c r="L741" s="82">
        <v>41876</v>
      </c>
      <c r="M741" s="83">
        <v>42056</v>
      </c>
      <c r="N741" s="80">
        <v>544939.44999999995</v>
      </c>
      <c r="O741" s="82">
        <v>42055</v>
      </c>
      <c r="P741" s="84" t="s">
        <v>4934</v>
      </c>
      <c r="Q741" s="80">
        <v>271968.25</v>
      </c>
      <c r="R741" s="80">
        <v>816907.7</v>
      </c>
      <c r="S741" s="80" t="s">
        <v>46</v>
      </c>
      <c r="T741" s="81" t="s">
        <v>4935</v>
      </c>
      <c r="U741" s="80">
        <v>65978.45</v>
      </c>
      <c r="V741" s="80"/>
      <c r="W741" s="80"/>
      <c r="X741" s="80">
        <v>724768.1</v>
      </c>
      <c r="Y741" s="76" t="s">
        <v>468</v>
      </c>
      <c r="Z741" s="19" t="s">
        <v>7038</v>
      </c>
      <c r="AA741" s="28" t="s">
        <v>7663</v>
      </c>
      <c r="AB741" s="56">
        <v>43418</v>
      </c>
      <c r="AC741" s="28" t="s">
        <v>7664</v>
      </c>
      <c r="AD741" s="28" t="s">
        <v>7665</v>
      </c>
      <c r="AE741" s="54"/>
      <c r="AF741" s="54"/>
      <c r="AG741" s="54"/>
      <c r="AH741" s="53"/>
      <c r="AI741" s="53" t="s">
        <v>1591</v>
      </c>
      <c r="AJ741" s="53" t="s">
        <v>1591</v>
      </c>
    </row>
    <row r="742" spans="1:36" s="3" customFormat="1" ht="24" x14ac:dyDescent="0.25">
      <c r="A742" s="17" t="s">
        <v>1090</v>
      </c>
      <c r="B742" s="18" t="s">
        <v>37</v>
      </c>
      <c r="C742" s="19" t="s">
        <v>3490</v>
      </c>
      <c r="D742" s="45" t="s">
        <v>1119</v>
      </c>
      <c r="E742" s="50" t="s">
        <v>3786</v>
      </c>
      <c r="F742" s="58" t="s">
        <v>1586</v>
      </c>
      <c r="G742" s="51"/>
      <c r="H742" s="51"/>
      <c r="I742" s="50" t="s">
        <v>1120</v>
      </c>
      <c r="J742" s="58" t="s">
        <v>1121</v>
      </c>
      <c r="K742" s="52" t="s">
        <v>324</v>
      </c>
      <c r="L742" s="59">
        <v>42537</v>
      </c>
      <c r="M742" s="60">
        <f>L742+240</f>
        <v>42777</v>
      </c>
      <c r="N742" s="51">
        <v>12856457.76</v>
      </c>
      <c r="O742" s="59" t="s">
        <v>3912</v>
      </c>
      <c r="P742" s="59">
        <v>43100</v>
      </c>
      <c r="Q742" s="51">
        <f>12796057.54-N742</f>
        <v>-60400.220000000671</v>
      </c>
      <c r="R742" s="51">
        <f>N742+Q742</f>
        <v>12796057.539999999</v>
      </c>
      <c r="S742" s="51"/>
      <c r="T742" s="52"/>
      <c r="U742" s="51">
        <v>1748732.93</v>
      </c>
      <c r="V742" s="51">
        <v>1465842.12</v>
      </c>
      <c r="W742" s="51">
        <v>1465842.12</v>
      </c>
      <c r="X742" s="51">
        <v>2088680.51</v>
      </c>
      <c r="Y742" s="19" t="s">
        <v>175</v>
      </c>
      <c r="Z742" s="19"/>
      <c r="AA742" s="28" t="s">
        <v>7663</v>
      </c>
      <c r="AB742" s="56">
        <v>43418</v>
      </c>
      <c r="AC742" s="28" t="s">
        <v>7664</v>
      </c>
      <c r="AD742" s="28" t="s">
        <v>7665</v>
      </c>
      <c r="AE742" s="54"/>
      <c r="AF742" s="54"/>
      <c r="AG742" s="54" t="s">
        <v>8314</v>
      </c>
      <c r="AH742" s="53" t="s">
        <v>1591</v>
      </c>
      <c r="AI742" s="53" t="s">
        <v>2686</v>
      </c>
      <c r="AJ742" s="53" t="s">
        <v>1591</v>
      </c>
    </row>
    <row r="743" spans="1:36" s="3" customFormat="1" ht="36" x14ac:dyDescent="0.25">
      <c r="A743" s="17" t="s">
        <v>1090</v>
      </c>
      <c r="B743" s="18" t="s">
        <v>37</v>
      </c>
      <c r="C743" s="76" t="s">
        <v>4938</v>
      </c>
      <c r="D743" s="45" t="s">
        <v>4939</v>
      </c>
      <c r="E743" s="78"/>
      <c r="F743" s="79"/>
      <c r="G743" s="80"/>
      <c r="H743" s="80"/>
      <c r="I743" s="78" t="s">
        <v>63</v>
      </c>
      <c r="J743" s="79" t="s">
        <v>167</v>
      </c>
      <c r="K743" s="81" t="s">
        <v>386</v>
      </c>
      <c r="L743" s="82">
        <v>42236</v>
      </c>
      <c r="M743" s="83">
        <v>42416</v>
      </c>
      <c r="N743" s="80">
        <v>4659535.74</v>
      </c>
      <c r="O743" s="82" t="s">
        <v>46</v>
      </c>
      <c r="P743" s="84" t="s">
        <v>4940</v>
      </c>
      <c r="Q743" s="80">
        <v>94750.490000000224</v>
      </c>
      <c r="R743" s="80">
        <v>4754286.2300000004</v>
      </c>
      <c r="S743" s="80"/>
      <c r="T743" s="81"/>
      <c r="U743" s="80">
        <v>4850605.3</v>
      </c>
      <c r="V743" s="80"/>
      <c r="W743" s="80"/>
      <c r="X743" s="80">
        <v>1457215.86</v>
      </c>
      <c r="Y743" s="76" t="s">
        <v>175</v>
      </c>
      <c r="Z743" s="19" t="s">
        <v>7038</v>
      </c>
      <c r="AA743" s="28" t="s">
        <v>7663</v>
      </c>
      <c r="AB743" s="56">
        <v>43418</v>
      </c>
      <c r="AC743" s="28" t="s">
        <v>7664</v>
      </c>
      <c r="AD743" s="28" t="s">
        <v>7665</v>
      </c>
      <c r="AE743" s="54" t="s">
        <v>8312</v>
      </c>
      <c r="AF743" s="54"/>
      <c r="AG743" s="54" t="s">
        <v>8311</v>
      </c>
      <c r="AH743" s="53" t="s">
        <v>1591</v>
      </c>
      <c r="AI743" s="53" t="s">
        <v>2686</v>
      </c>
      <c r="AJ743" s="53" t="s">
        <v>1591</v>
      </c>
    </row>
    <row r="744" spans="1:36" s="3" customFormat="1" ht="48" x14ac:dyDescent="0.25">
      <c r="A744" s="17" t="s">
        <v>1090</v>
      </c>
      <c r="B744" s="18" t="s">
        <v>37</v>
      </c>
      <c r="C744" s="76" t="s">
        <v>4941</v>
      </c>
      <c r="D744" s="45" t="s">
        <v>4942</v>
      </c>
      <c r="E744" s="78"/>
      <c r="F744" s="79"/>
      <c r="G744" s="80"/>
      <c r="H744" s="80"/>
      <c r="I744" s="78" t="s">
        <v>1125</v>
      </c>
      <c r="J744" s="79" t="s">
        <v>1126</v>
      </c>
      <c r="K744" s="81" t="s">
        <v>336</v>
      </c>
      <c r="L744" s="82">
        <v>42639</v>
      </c>
      <c r="M744" s="83">
        <v>42735</v>
      </c>
      <c r="N744" s="80">
        <v>4139548.65</v>
      </c>
      <c r="O744" s="82" t="s">
        <v>46</v>
      </c>
      <c r="P744" s="84" t="s">
        <v>46</v>
      </c>
      <c r="Q744" s="80">
        <v>0</v>
      </c>
      <c r="R744" s="80">
        <v>4139548.65</v>
      </c>
      <c r="S744" s="80"/>
      <c r="T744" s="81"/>
      <c r="U744" s="80">
        <v>1676222.19</v>
      </c>
      <c r="V744" s="80"/>
      <c r="W744" s="80"/>
      <c r="X744" s="80">
        <v>1676222.19</v>
      </c>
      <c r="Y744" s="76" t="s">
        <v>175</v>
      </c>
      <c r="Z744" s="19" t="s">
        <v>7038</v>
      </c>
      <c r="AA744" s="28" t="s">
        <v>7663</v>
      </c>
      <c r="AB744" s="56">
        <v>43418</v>
      </c>
      <c r="AC744" s="28" t="s">
        <v>7664</v>
      </c>
      <c r="AD744" s="28" t="s">
        <v>7665</v>
      </c>
      <c r="AE744" s="54"/>
      <c r="AF744" s="54"/>
      <c r="AG744" s="54" t="s">
        <v>8318</v>
      </c>
      <c r="AH744" s="53" t="s">
        <v>1591</v>
      </c>
      <c r="AI744" s="53" t="s">
        <v>2686</v>
      </c>
      <c r="AJ744" s="53" t="s">
        <v>1591</v>
      </c>
    </row>
    <row r="745" spans="1:36" s="3" customFormat="1" ht="48" x14ac:dyDescent="0.25">
      <c r="A745" s="17" t="s">
        <v>1090</v>
      </c>
      <c r="B745" s="18" t="s">
        <v>37</v>
      </c>
      <c r="C745" s="19" t="s">
        <v>3491</v>
      </c>
      <c r="D745" s="45" t="s">
        <v>3492</v>
      </c>
      <c r="E745" s="50" t="s">
        <v>3787</v>
      </c>
      <c r="F745" s="58" t="s">
        <v>3788</v>
      </c>
      <c r="G745" s="51"/>
      <c r="H745" s="51"/>
      <c r="I745" s="50" t="s">
        <v>2347</v>
      </c>
      <c r="J745" s="58" t="s">
        <v>3789</v>
      </c>
      <c r="K745" s="52" t="s">
        <v>2950</v>
      </c>
      <c r="L745" s="59">
        <v>42908</v>
      </c>
      <c r="M745" s="60">
        <f>L745+180</f>
        <v>43088</v>
      </c>
      <c r="N745" s="51">
        <v>3713944.06</v>
      </c>
      <c r="O745" s="59" t="s">
        <v>46</v>
      </c>
      <c r="P745" s="59">
        <v>43268</v>
      </c>
      <c r="Q745" s="51"/>
      <c r="R745" s="51">
        <f t="shared" ref="R745:R748" si="30">N745+Q745</f>
        <v>3713944.06</v>
      </c>
      <c r="S745" s="51"/>
      <c r="T745" s="52"/>
      <c r="U745" s="51">
        <v>269151.39</v>
      </c>
      <c r="V745" s="51">
        <v>269151.39</v>
      </c>
      <c r="W745" s="51">
        <v>269151.39</v>
      </c>
      <c r="X745" s="51">
        <v>269151.39</v>
      </c>
      <c r="Y745" s="19" t="s">
        <v>175</v>
      </c>
      <c r="Z745" s="19"/>
      <c r="AA745" s="28" t="s">
        <v>7663</v>
      </c>
      <c r="AB745" s="56">
        <v>43418</v>
      </c>
      <c r="AC745" s="28" t="s">
        <v>7664</v>
      </c>
      <c r="AD745" s="28" t="s">
        <v>7665</v>
      </c>
      <c r="AE745" s="54" t="s">
        <v>8315</v>
      </c>
      <c r="AF745" s="54"/>
      <c r="AG745" s="54" t="s">
        <v>1622</v>
      </c>
      <c r="AH745" s="53" t="s">
        <v>1591</v>
      </c>
      <c r="AI745" s="53" t="s">
        <v>2686</v>
      </c>
      <c r="AJ745" s="53" t="s">
        <v>1591</v>
      </c>
    </row>
    <row r="746" spans="1:36" s="3" customFormat="1" ht="48" x14ac:dyDescent="0.25">
      <c r="A746" s="17" t="s">
        <v>1090</v>
      </c>
      <c r="B746" s="18" t="s">
        <v>37</v>
      </c>
      <c r="C746" s="19" t="s">
        <v>1095</v>
      </c>
      <c r="D746" s="45" t="s">
        <v>3488</v>
      </c>
      <c r="E746" s="50" t="s">
        <v>3778</v>
      </c>
      <c r="F746" s="58" t="s">
        <v>2857</v>
      </c>
      <c r="G746" s="51"/>
      <c r="H746" s="51"/>
      <c r="I746" s="50" t="s">
        <v>327</v>
      </c>
      <c r="J746" s="58" t="s">
        <v>1094</v>
      </c>
      <c r="K746" s="52" t="s">
        <v>126</v>
      </c>
      <c r="L746" s="59">
        <v>42121</v>
      </c>
      <c r="M746" s="60">
        <f>L746+365</f>
        <v>42486</v>
      </c>
      <c r="N746" s="51">
        <v>2435903.6</v>
      </c>
      <c r="O746" s="59" t="s">
        <v>3910</v>
      </c>
      <c r="P746" s="59">
        <f>M746+632</f>
        <v>43118</v>
      </c>
      <c r="Q746" s="51">
        <f>2918905.7-N746</f>
        <v>483002.10000000009</v>
      </c>
      <c r="R746" s="51">
        <f t="shared" si="30"/>
        <v>2918905.7</v>
      </c>
      <c r="S746" s="51"/>
      <c r="T746" s="52"/>
      <c r="U746" s="51">
        <v>2832492.93</v>
      </c>
      <c r="V746" s="51">
        <v>72704.149999999994</v>
      </c>
      <c r="W746" s="51">
        <v>72704.149999999994</v>
      </c>
      <c r="X746" s="51">
        <v>1932036.11</v>
      </c>
      <c r="Y746" s="19" t="s">
        <v>472</v>
      </c>
      <c r="Z746" s="19"/>
      <c r="AA746" s="28" t="s">
        <v>7663</v>
      </c>
      <c r="AB746" s="56">
        <v>43418</v>
      </c>
      <c r="AC746" s="28" t="s">
        <v>7664</v>
      </c>
      <c r="AD746" s="28" t="s">
        <v>7665</v>
      </c>
      <c r="AE746" s="54" t="s">
        <v>8319</v>
      </c>
      <c r="AF746" s="54"/>
      <c r="AG746" s="54" t="s">
        <v>6439</v>
      </c>
      <c r="AH746" s="53" t="s">
        <v>1591</v>
      </c>
      <c r="AI746" s="53" t="s">
        <v>2686</v>
      </c>
      <c r="AJ746" s="53" t="s">
        <v>1591</v>
      </c>
    </row>
    <row r="747" spans="1:36" s="3" customFormat="1" ht="60" x14ac:dyDescent="0.25">
      <c r="A747" s="17" t="s">
        <v>1090</v>
      </c>
      <c r="B747" s="18" t="s">
        <v>37</v>
      </c>
      <c r="C747" s="19" t="s">
        <v>1127</v>
      </c>
      <c r="D747" s="45" t="s">
        <v>1096</v>
      </c>
      <c r="E747" s="50" t="s">
        <v>3779</v>
      </c>
      <c r="F747" s="58" t="s">
        <v>3780</v>
      </c>
      <c r="G747" s="51"/>
      <c r="H747" s="51"/>
      <c r="I747" s="50" t="s">
        <v>327</v>
      </c>
      <c r="J747" s="58" t="s">
        <v>1094</v>
      </c>
      <c r="K747" s="52" t="s">
        <v>86</v>
      </c>
      <c r="L747" s="59">
        <v>42151</v>
      </c>
      <c r="M747" s="60">
        <f>L747+180</f>
        <v>42331</v>
      </c>
      <c r="N747" s="51">
        <v>2141748.4500000002</v>
      </c>
      <c r="O747" s="59" t="s">
        <v>46</v>
      </c>
      <c r="P747" s="59">
        <f>M747+949</f>
        <v>43280</v>
      </c>
      <c r="Q747" s="51">
        <f>2301714.76-N747</f>
        <v>159966.30999999959</v>
      </c>
      <c r="R747" s="51">
        <f t="shared" si="30"/>
        <v>2301714.7599999998</v>
      </c>
      <c r="S747" s="51"/>
      <c r="T747" s="52"/>
      <c r="U747" s="51">
        <v>1388558.13</v>
      </c>
      <c r="V747" s="51">
        <v>0</v>
      </c>
      <c r="W747" s="51">
        <v>0</v>
      </c>
      <c r="X747" s="51">
        <v>1388558.13</v>
      </c>
      <c r="Y747" s="19" t="s">
        <v>175</v>
      </c>
      <c r="Z747" s="19"/>
      <c r="AA747" s="28" t="s">
        <v>7663</v>
      </c>
      <c r="AB747" s="56">
        <v>43418</v>
      </c>
      <c r="AC747" s="28" t="s">
        <v>7664</v>
      </c>
      <c r="AD747" s="28" t="s">
        <v>7665</v>
      </c>
      <c r="AE747" s="54"/>
      <c r="AF747" s="54"/>
      <c r="AG747" s="54" t="s">
        <v>7666</v>
      </c>
      <c r="AH747" s="53" t="s">
        <v>39</v>
      </c>
      <c r="AI747" s="53" t="s">
        <v>2686</v>
      </c>
      <c r="AJ747" s="53" t="s">
        <v>1591</v>
      </c>
    </row>
    <row r="748" spans="1:36" s="3" customFormat="1" ht="84" x14ac:dyDescent="0.25">
      <c r="A748" s="35" t="s">
        <v>1090</v>
      </c>
      <c r="B748" s="18" t="s">
        <v>37</v>
      </c>
      <c r="C748" s="19" t="s">
        <v>1097</v>
      </c>
      <c r="D748" s="43" t="s">
        <v>3489</v>
      </c>
      <c r="E748" s="50" t="s">
        <v>3781</v>
      </c>
      <c r="F748" s="36" t="s">
        <v>3782</v>
      </c>
      <c r="G748" s="51"/>
      <c r="H748" s="51"/>
      <c r="I748" s="36" t="s">
        <v>327</v>
      </c>
      <c r="J748" s="34" t="s">
        <v>1094</v>
      </c>
      <c r="K748" s="37" t="s">
        <v>199</v>
      </c>
      <c r="L748" s="38">
        <v>42426</v>
      </c>
      <c r="M748" s="39">
        <f>L748+210</f>
        <v>42636</v>
      </c>
      <c r="N748" s="42">
        <v>1991087.92</v>
      </c>
      <c r="O748" s="74" t="s">
        <v>46</v>
      </c>
      <c r="P748" s="39">
        <f>M748+577</f>
        <v>43213</v>
      </c>
      <c r="Q748" s="41">
        <f>2246799.21-N748</f>
        <v>255711.29000000004</v>
      </c>
      <c r="R748" s="51">
        <f t="shared" si="30"/>
        <v>2246799.21</v>
      </c>
      <c r="S748" s="51"/>
      <c r="T748" s="52"/>
      <c r="U748" s="51">
        <v>969481.47</v>
      </c>
      <c r="V748" s="51">
        <v>198029.94</v>
      </c>
      <c r="W748" s="42">
        <v>198029.94</v>
      </c>
      <c r="X748" s="42">
        <v>791110.57</v>
      </c>
      <c r="Y748" s="34" t="s">
        <v>175</v>
      </c>
      <c r="Z748" s="34"/>
      <c r="AA748" s="28" t="s">
        <v>7663</v>
      </c>
      <c r="AB748" s="56">
        <v>43418</v>
      </c>
      <c r="AC748" s="28" t="s">
        <v>7664</v>
      </c>
      <c r="AD748" s="28" t="s">
        <v>7665</v>
      </c>
      <c r="AE748" s="54" t="s">
        <v>8310</v>
      </c>
      <c r="AF748" s="54"/>
      <c r="AG748" s="54" t="s">
        <v>1622</v>
      </c>
      <c r="AH748" s="53" t="s">
        <v>1591</v>
      </c>
      <c r="AI748" s="53" t="s">
        <v>2686</v>
      </c>
      <c r="AJ748" s="53" t="s">
        <v>1591</v>
      </c>
    </row>
    <row r="749" spans="1:36" s="3" customFormat="1" ht="72" x14ac:dyDescent="0.25">
      <c r="A749" s="35" t="s">
        <v>2856</v>
      </c>
      <c r="B749" s="18" t="s">
        <v>37</v>
      </c>
      <c r="C749" s="76"/>
      <c r="D749" s="43" t="s">
        <v>4943</v>
      </c>
      <c r="E749" s="78"/>
      <c r="F749" s="36" t="s">
        <v>4944</v>
      </c>
      <c r="G749" s="80"/>
      <c r="H749" s="80"/>
      <c r="I749" s="36" t="s">
        <v>531</v>
      </c>
      <c r="J749" s="34" t="s">
        <v>4945</v>
      </c>
      <c r="K749" s="37" t="s">
        <v>580</v>
      </c>
      <c r="L749" s="38">
        <v>42143</v>
      </c>
      <c r="M749" s="39">
        <v>42508</v>
      </c>
      <c r="N749" s="42">
        <v>2195315.12</v>
      </c>
      <c r="O749" s="85" t="s">
        <v>46</v>
      </c>
      <c r="P749" s="86">
        <v>42508</v>
      </c>
      <c r="Q749" s="41">
        <v>7454.3100000000559</v>
      </c>
      <c r="R749" s="41">
        <v>2202769.4300000002</v>
      </c>
      <c r="S749" s="80"/>
      <c r="T749" s="81"/>
      <c r="U749" s="80"/>
      <c r="V749" s="80"/>
      <c r="W749" s="42"/>
      <c r="X749" s="42">
        <v>73219.839999999997</v>
      </c>
      <c r="Y749" s="34" t="s">
        <v>4321</v>
      </c>
      <c r="Z749" s="19" t="s">
        <v>7038</v>
      </c>
      <c r="AA749" s="28" t="s">
        <v>7663</v>
      </c>
      <c r="AB749" s="56">
        <v>43418</v>
      </c>
      <c r="AC749" s="28" t="s">
        <v>7664</v>
      </c>
      <c r="AD749" s="28" t="s">
        <v>7665</v>
      </c>
      <c r="AE749" s="54"/>
      <c r="AF749" s="54"/>
      <c r="AG749" s="54"/>
      <c r="AH749" s="53"/>
      <c r="AI749" s="53" t="s">
        <v>1591</v>
      </c>
      <c r="AJ749" s="53" t="s">
        <v>1591</v>
      </c>
    </row>
    <row r="750" spans="1:36" s="3" customFormat="1" ht="36" x14ac:dyDescent="0.25">
      <c r="A750" s="17" t="s">
        <v>1090</v>
      </c>
      <c r="B750" s="18" t="s">
        <v>37</v>
      </c>
      <c r="C750" s="19" t="s">
        <v>1100</v>
      </c>
      <c r="D750" s="45" t="s">
        <v>1129</v>
      </c>
      <c r="E750" s="50" t="s">
        <v>3790</v>
      </c>
      <c r="F750" s="58" t="s">
        <v>3791</v>
      </c>
      <c r="G750" s="51"/>
      <c r="H750" s="51"/>
      <c r="I750" s="50" t="s">
        <v>971</v>
      </c>
      <c r="J750" s="58" t="s">
        <v>1128</v>
      </c>
      <c r="K750" s="52" t="s">
        <v>339</v>
      </c>
      <c r="L750" s="59">
        <v>42544</v>
      </c>
      <c r="M750" s="60">
        <f>L750+180</f>
        <v>42724</v>
      </c>
      <c r="N750" s="51">
        <v>1414124</v>
      </c>
      <c r="O750" s="59" t="s">
        <v>46</v>
      </c>
      <c r="P750" s="59">
        <f>M750+158</f>
        <v>42882</v>
      </c>
      <c r="Q750" s="51">
        <f>1646673.22-N750</f>
        <v>232549.21999999997</v>
      </c>
      <c r="R750" s="51">
        <f>N750+Q750</f>
        <v>1646673.22</v>
      </c>
      <c r="S750" s="51"/>
      <c r="T750" s="52"/>
      <c r="U750" s="51">
        <v>251846.91</v>
      </c>
      <c r="V750" s="51">
        <v>25595.29</v>
      </c>
      <c r="W750" s="51">
        <v>25595.29</v>
      </c>
      <c r="X750" s="51">
        <v>251846.91</v>
      </c>
      <c r="Y750" s="19" t="s">
        <v>472</v>
      </c>
      <c r="Z750" s="19"/>
      <c r="AA750" s="28" t="s">
        <v>7663</v>
      </c>
      <c r="AB750" s="56">
        <v>43418</v>
      </c>
      <c r="AC750" s="28" t="s">
        <v>7664</v>
      </c>
      <c r="AD750" s="28" t="s">
        <v>7665</v>
      </c>
      <c r="AE750" s="54"/>
      <c r="AF750" s="54"/>
      <c r="AG750" s="54" t="s">
        <v>8317</v>
      </c>
      <c r="AH750" s="53" t="s">
        <v>1591</v>
      </c>
      <c r="AI750" s="53" t="s">
        <v>2686</v>
      </c>
      <c r="AJ750" s="53" t="s">
        <v>1591</v>
      </c>
    </row>
    <row r="751" spans="1:36" s="3" customFormat="1" ht="48" x14ac:dyDescent="0.25">
      <c r="A751" s="17" t="s">
        <v>1090</v>
      </c>
      <c r="B751" s="18" t="s">
        <v>37</v>
      </c>
      <c r="C751" s="76" t="s">
        <v>4946</v>
      </c>
      <c r="D751" s="45" t="s">
        <v>4947</v>
      </c>
      <c r="E751" s="78"/>
      <c r="F751" s="79"/>
      <c r="G751" s="80"/>
      <c r="H751" s="80"/>
      <c r="I751" s="78" t="s">
        <v>4948</v>
      </c>
      <c r="J751" s="79" t="s">
        <v>4949</v>
      </c>
      <c r="K751" s="81" t="s">
        <v>4950</v>
      </c>
      <c r="L751" s="82">
        <v>41516</v>
      </c>
      <c r="M751" s="83">
        <v>41696</v>
      </c>
      <c r="N751" s="80">
        <v>1812332.12</v>
      </c>
      <c r="O751" s="82" t="s">
        <v>4951</v>
      </c>
      <c r="P751" s="84" t="s">
        <v>4952</v>
      </c>
      <c r="Q751" s="80">
        <v>-206412.48000000021</v>
      </c>
      <c r="R751" s="80">
        <v>1605919.64</v>
      </c>
      <c r="S751" s="80"/>
      <c r="T751" s="81"/>
      <c r="U751" s="80">
        <v>1380707.65</v>
      </c>
      <c r="V751" s="80"/>
      <c r="W751" s="80"/>
      <c r="X751" s="80">
        <v>1380707.65</v>
      </c>
      <c r="Y751" s="76" t="s">
        <v>4564</v>
      </c>
      <c r="Z751" s="19" t="s">
        <v>7038</v>
      </c>
      <c r="AA751" s="28" t="s">
        <v>7663</v>
      </c>
      <c r="AB751" s="56">
        <v>43418</v>
      </c>
      <c r="AC751" s="28" t="s">
        <v>7664</v>
      </c>
      <c r="AD751" s="28" t="s">
        <v>7665</v>
      </c>
      <c r="AE751" s="54"/>
      <c r="AF751" s="54"/>
      <c r="AG751" s="54"/>
      <c r="AH751" s="53"/>
      <c r="AI751" s="53" t="s">
        <v>1591</v>
      </c>
      <c r="AJ751" s="53" t="s">
        <v>1591</v>
      </c>
    </row>
    <row r="752" spans="1:36" s="3" customFormat="1" ht="24" x14ac:dyDescent="0.25">
      <c r="A752" s="17" t="s">
        <v>1090</v>
      </c>
      <c r="B752" s="18" t="s">
        <v>37</v>
      </c>
      <c r="C752" s="19" t="s">
        <v>1103</v>
      </c>
      <c r="D752" s="45" t="s">
        <v>1122</v>
      </c>
      <c r="E752" s="50" t="s">
        <v>581</v>
      </c>
      <c r="F752" s="58" t="s">
        <v>1304</v>
      </c>
      <c r="G752" s="51"/>
      <c r="H752" s="51"/>
      <c r="I752" s="50" t="s">
        <v>122</v>
      </c>
      <c r="J752" s="58" t="s">
        <v>1123</v>
      </c>
      <c r="K752" s="52" t="s">
        <v>334</v>
      </c>
      <c r="L752" s="59">
        <v>42641</v>
      </c>
      <c r="M752" s="60">
        <f>L752+365</f>
        <v>43006</v>
      </c>
      <c r="N752" s="51">
        <v>968468.33</v>
      </c>
      <c r="O752" s="59" t="s">
        <v>3913</v>
      </c>
      <c r="P752" s="59">
        <v>0</v>
      </c>
      <c r="Q752" s="51">
        <f>1198529.57-N752</f>
        <v>230061.24000000011</v>
      </c>
      <c r="R752" s="51">
        <f>N752+Q752</f>
        <v>1198529.57</v>
      </c>
      <c r="S752" s="51"/>
      <c r="T752" s="52"/>
      <c r="U752" s="51">
        <v>810150.55</v>
      </c>
      <c r="V752" s="51">
        <v>0</v>
      </c>
      <c r="W752" s="51">
        <v>0</v>
      </c>
      <c r="X752" s="51">
        <v>630097.28</v>
      </c>
      <c r="Y752" s="19" t="s">
        <v>472</v>
      </c>
      <c r="Z752" s="19"/>
      <c r="AA752" s="28" t="s">
        <v>7663</v>
      </c>
      <c r="AB752" s="56">
        <v>43418</v>
      </c>
      <c r="AC752" s="28" t="s">
        <v>7664</v>
      </c>
      <c r="AD752" s="28" t="s">
        <v>7665</v>
      </c>
      <c r="AE752" s="54" t="s">
        <v>8316</v>
      </c>
      <c r="AF752" s="54"/>
      <c r="AG752" s="54" t="s">
        <v>1622</v>
      </c>
      <c r="AH752" s="53" t="s">
        <v>1591</v>
      </c>
      <c r="AI752" s="53" t="s">
        <v>2686</v>
      </c>
      <c r="AJ752" s="53" t="s">
        <v>1591</v>
      </c>
    </row>
    <row r="753" spans="1:36" s="3" customFormat="1" ht="36" x14ac:dyDescent="0.25">
      <c r="A753" s="17" t="s">
        <v>1090</v>
      </c>
      <c r="B753" s="18" t="s">
        <v>37</v>
      </c>
      <c r="C753" s="19" t="s">
        <v>1115</v>
      </c>
      <c r="D753" s="45" t="s">
        <v>1116</v>
      </c>
      <c r="E753" s="50" t="s">
        <v>3785</v>
      </c>
      <c r="F753" s="58" t="s">
        <v>562</v>
      </c>
      <c r="G753" s="51"/>
      <c r="H753" s="51"/>
      <c r="I753" s="50" t="s">
        <v>1111</v>
      </c>
      <c r="J753" s="58" t="s">
        <v>1112</v>
      </c>
      <c r="K753" s="52" t="s">
        <v>1117</v>
      </c>
      <c r="L753" s="59">
        <v>40557</v>
      </c>
      <c r="M753" s="60">
        <f>L753+209</f>
        <v>40766</v>
      </c>
      <c r="N753" s="51">
        <v>1163870.55</v>
      </c>
      <c r="O753" s="59" t="s">
        <v>1118</v>
      </c>
      <c r="P753" s="59">
        <f>M753+992</f>
        <v>41758</v>
      </c>
      <c r="Q753" s="51"/>
      <c r="R753" s="51">
        <f>N753+Q753</f>
        <v>1163870.55</v>
      </c>
      <c r="S753" s="51"/>
      <c r="T753" s="52"/>
      <c r="U753" s="51">
        <v>461530.35</v>
      </c>
      <c r="V753" s="51">
        <v>0</v>
      </c>
      <c r="W753" s="51">
        <v>0</v>
      </c>
      <c r="X753" s="51">
        <v>287538.93</v>
      </c>
      <c r="Y753" s="19" t="s">
        <v>472</v>
      </c>
      <c r="Z753" s="19"/>
      <c r="AA753" s="28" t="s">
        <v>7663</v>
      </c>
      <c r="AB753" s="56">
        <v>43418</v>
      </c>
      <c r="AC753" s="28" t="s">
        <v>7664</v>
      </c>
      <c r="AD753" s="28" t="s">
        <v>7665</v>
      </c>
      <c r="AE753" s="54"/>
      <c r="AF753" s="54"/>
      <c r="AG753" s="54"/>
      <c r="AH753" s="53"/>
      <c r="AI753" s="53" t="s">
        <v>1591</v>
      </c>
      <c r="AJ753" s="53" t="s">
        <v>1591</v>
      </c>
    </row>
    <row r="754" spans="1:36" s="3" customFormat="1" ht="36" x14ac:dyDescent="0.25">
      <c r="A754" s="17" t="s">
        <v>1090</v>
      </c>
      <c r="B754" s="18" t="s">
        <v>37</v>
      </c>
      <c r="C754" s="19" t="s">
        <v>1109</v>
      </c>
      <c r="D754" s="45" t="s">
        <v>1110</v>
      </c>
      <c r="E754" s="50" t="s">
        <v>3784</v>
      </c>
      <c r="F754" s="58" t="s">
        <v>1304</v>
      </c>
      <c r="G754" s="51"/>
      <c r="H754" s="51"/>
      <c r="I754" s="50" t="s">
        <v>1111</v>
      </c>
      <c r="J754" s="58" t="s">
        <v>1112</v>
      </c>
      <c r="K754" s="52" t="s">
        <v>1113</v>
      </c>
      <c r="L754" s="59">
        <v>41080</v>
      </c>
      <c r="M754" s="60">
        <f>L754+180</f>
        <v>41260</v>
      </c>
      <c r="N754" s="51">
        <v>1054021.25</v>
      </c>
      <c r="O754" s="59" t="s">
        <v>1114</v>
      </c>
      <c r="P754" s="59">
        <f>M754+179</f>
        <v>41439</v>
      </c>
      <c r="Q754" s="51"/>
      <c r="R754" s="51">
        <f>N754+Q754</f>
        <v>1054021.25</v>
      </c>
      <c r="S754" s="51"/>
      <c r="T754" s="52"/>
      <c r="U754" s="51">
        <v>452289.13</v>
      </c>
      <c r="V754" s="51">
        <v>0</v>
      </c>
      <c r="W754" s="51">
        <v>0</v>
      </c>
      <c r="X754" s="51">
        <v>257516.87</v>
      </c>
      <c r="Y754" s="19" t="s">
        <v>472</v>
      </c>
      <c r="Z754" s="19"/>
      <c r="AA754" s="28" t="s">
        <v>7663</v>
      </c>
      <c r="AB754" s="56">
        <v>43418</v>
      </c>
      <c r="AC754" s="28" t="s">
        <v>7664</v>
      </c>
      <c r="AD754" s="28" t="s">
        <v>7665</v>
      </c>
      <c r="AE754" s="54"/>
      <c r="AF754" s="54"/>
      <c r="AG754" s="54"/>
      <c r="AH754" s="53"/>
      <c r="AI754" s="53" t="s">
        <v>1591</v>
      </c>
      <c r="AJ754" s="53" t="s">
        <v>1591</v>
      </c>
    </row>
    <row r="755" spans="1:36" s="3" customFormat="1" ht="60" x14ac:dyDescent="0.25">
      <c r="A755" s="35" t="s">
        <v>2856</v>
      </c>
      <c r="B755" s="18" t="s">
        <v>37</v>
      </c>
      <c r="C755" s="76"/>
      <c r="D755" s="43" t="s">
        <v>4953</v>
      </c>
      <c r="E755" s="78"/>
      <c r="F755" s="36" t="s">
        <v>4954</v>
      </c>
      <c r="G755" s="80"/>
      <c r="H755" s="80"/>
      <c r="I755" s="36" t="s">
        <v>940</v>
      </c>
      <c r="J755" s="34" t="s">
        <v>4955</v>
      </c>
      <c r="K755" s="37" t="s">
        <v>54</v>
      </c>
      <c r="L755" s="38">
        <v>41906</v>
      </c>
      <c r="M755" s="39">
        <v>42271</v>
      </c>
      <c r="N755" s="42">
        <v>332911.01</v>
      </c>
      <c r="O755" s="85" t="s">
        <v>46</v>
      </c>
      <c r="P755" s="86">
        <v>42407</v>
      </c>
      <c r="Q755" s="41">
        <v>331546.65000000002</v>
      </c>
      <c r="R755" s="41">
        <v>664457.66</v>
      </c>
      <c r="S755" s="80"/>
      <c r="T755" s="81"/>
      <c r="U755" s="80"/>
      <c r="V755" s="80"/>
      <c r="W755" s="42"/>
      <c r="X755" s="42">
        <v>0</v>
      </c>
      <c r="Y755" s="34" t="s">
        <v>4321</v>
      </c>
      <c r="Z755" s="19" t="s">
        <v>7038</v>
      </c>
      <c r="AA755" s="28" t="s">
        <v>7663</v>
      </c>
      <c r="AB755" s="56">
        <v>43418</v>
      </c>
      <c r="AC755" s="28" t="s">
        <v>7664</v>
      </c>
      <c r="AD755" s="28" t="s">
        <v>7665</v>
      </c>
      <c r="AE755" s="54"/>
      <c r="AF755" s="54"/>
      <c r="AG755" s="54"/>
      <c r="AH755" s="53"/>
      <c r="AI755" s="53" t="s">
        <v>1591</v>
      </c>
      <c r="AJ755" s="53" t="s">
        <v>1591</v>
      </c>
    </row>
    <row r="756" spans="1:36" s="3" customFormat="1" ht="48" x14ac:dyDescent="0.25">
      <c r="A756" s="35" t="s">
        <v>2856</v>
      </c>
      <c r="B756" s="18" t="s">
        <v>37</v>
      </c>
      <c r="C756" s="76"/>
      <c r="D756" s="43" t="s">
        <v>4956</v>
      </c>
      <c r="E756" s="78"/>
      <c r="F756" s="36"/>
      <c r="G756" s="80"/>
      <c r="H756" s="80"/>
      <c r="I756" s="36" t="s">
        <v>842</v>
      </c>
      <c r="J756" s="34" t="s">
        <v>4957</v>
      </c>
      <c r="K756" s="37" t="s">
        <v>924</v>
      </c>
      <c r="L756" s="38">
        <v>41898</v>
      </c>
      <c r="M756" s="39">
        <v>41928</v>
      </c>
      <c r="N756" s="42">
        <v>429661.5</v>
      </c>
      <c r="O756" s="85" t="s">
        <v>4958</v>
      </c>
      <c r="P756" s="86">
        <v>42418</v>
      </c>
      <c r="Q756" s="41">
        <v>32086.280000000028</v>
      </c>
      <c r="R756" s="41">
        <v>461747.78</v>
      </c>
      <c r="S756" s="80"/>
      <c r="T756" s="81"/>
      <c r="U756" s="80"/>
      <c r="V756" s="80"/>
      <c r="W756" s="42"/>
      <c r="X756" s="42">
        <v>375123.28</v>
      </c>
      <c r="Y756" s="34" t="s">
        <v>4321</v>
      </c>
      <c r="Z756" s="19" t="s">
        <v>7038</v>
      </c>
      <c r="AA756" s="28" t="s">
        <v>7663</v>
      </c>
      <c r="AB756" s="56">
        <v>43418</v>
      </c>
      <c r="AC756" s="28" t="s">
        <v>7664</v>
      </c>
      <c r="AD756" s="28" t="s">
        <v>7665</v>
      </c>
      <c r="AE756" s="54"/>
      <c r="AF756" s="54"/>
      <c r="AG756" s="54"/>
      <c r="AH756" s="53"/>
      <c r="AI756" s="53" t="s">
        <v>1591</v>
      </c>
      <c r="AJ756" s="53" t="s">
        <v>1591</v>
      </c>
    </row>
    <row r="757" spans="1:36" s="3" customFormat="1" ht="36" x14ac:dyDescent="0.25">
      <c r="A757" s="17" t="s">
        <v>1090</v>
      </c>
      <c r="B757" s="18" t="s">
        <v>37</v>
      </c>
      <c r="C757" s="76" t="s">
        <v>4959</v>
      </c>
      <c r="D757" s="45" t="s">
        <v>4960</v>
      </c>
      <c r="E757" s="78"/>
      <c r="F757" s="79"/>
      <c r="G757" s="80"/>
      <c r="H757" s="80"/>
      <c r="I757" s="78" t="s">
        <v>327</v>
      </c>
      <c r="J757" s="79" t="s">
        <v>1094</v>
      </c>
      <c r="K757" s="81" t="s">
        <v>782</v>
      </c>
      <c r="L757" s="82">
        <v>41739</v>
      </c>
      <c r="M757" s="83">
        <v>41859</v>
      </c>
      <c r="N757" s="80">
        <v>202404.48000000001</v>
      </c>
      <c r="O757" s="82" t="s">
        <v>4961</v>
      </c>
      <c r="P757" s="84" t="s">
        <v>46</v>
      </c>
      <c r="Q757" s="80">
        <v>80857.879999999976</v>
      </c>
      <c r="R757" s="80">
        <v>283262.36</v>
      </c>
      <c r="S757" s="80"/>
      <c r="T757" s="81"/>
      <c r="U757" s="80">
        <v>164111.71</v>
      </c>
      <c r="V757" s="80"/>
      <c r="W757" s="80"/>
      <c r="X757" s="80">
        <v>64142.68</v>
      </c>
      <c r="Y757" s="76" t="s">
        <v>175</v>
      </c>
      <c r="Z757" s="19" t="s">
        <v>7038</v>
      </c>
      <c r="AA757" s="28" t="s">
        <v>7663</v>
      </c>
      <c r="AB757" s="56">
        <v>43418</v>
      </c>
      <c r="AC757" s="28" t="s">
        <v>7664</v>
      </c>
      <c r="AD757" s="28" t="s">
        <v>7665</v>
      </c>
      <c r="AE757" s="54" t="s">
        <v>8320</v>
      </c>
      <c r="AF757" s="54"/>
      <c r="AG757" s="54" t="s">
        <v>41</v>
      </c>
      <c r="AH757" s="53" t="s">
        <v>1591</v>
      </c>
      <c r="AI757" s="53" t="s">
        <v>2686</v>
      </c>
      <c r="AJ757" s="53" t="s">
        <v>1591</v>
      </c>
    </row>
    <row r="758" spans="1:36" s="3" customFormat="1" ht="36" x14ac:dyDescent="0.25">
      <c r="A758" s="17" t="s">
        <v>1090</v>
      </c>
      <c r="B758" s="18" t="s">
        <v>37</v>
      </c>
      <c r="C758" s="76" t="s">
        <v>4964</v>
      </c>
      <c r="D758" s="45" t="s">
        <v>4965</v>
      </c>
      <c r="E758" s="78"/>
      <c r="F758" s="79"/>
      <c r="G758" s="80"/>
      <c r="H758" s="80"/>
      <c r="I758" s="78" t="s">
        <v>906</v>
      </c>
      <c r="J758" s="79" t="s">
        <v>1101</v>
      </c>
      <c r="K758" s="81" t="s">
        <v>1065</v>
      </c>
      <c r="L758" s="82">
        <v>42228</v>
      </c>
      <c r="M758" s="83">
        <v>42593</v>
      </c>
      <c r="N758" s="80">
        <v>147138.71</v>
      </c>
      <c r="O758" s="82">
        <v>42684</v>
      </c>
      <c r="P758" s="84" t="s">
        <v>4966</v>
      </c>
      <c r="Q758" s="80">
        <v>0</v>
      </c>
      <c r="R758" s="80">
        <v>147138.71</v>
      </c>
      <c r="S758" s="80"/>
      <c r="T758" s="81"/>
      <c r="U758" s="80">
        <v>147138.71</v>
      </c>
      <c r="V758" s="80"/>
      <c r="W758" s="80"/>
      <c r="X758" s="80">
        <v>52870.43</v>
      </c>
      <c r="Y758" s="76" t="s">
        <v>468</v>
      </c>
      <c r="Z758" s="19" t="s">
        <v>7038</v>
      </c>
      <c r="AA758" s="28" t="s">
        <v>7663</v>
      </c>
      <c r="AB758" s="56">
        <v>43418</v>
      </c>
      <c r="AC758" s="28" t="s">
        <v>7664</v>
      </c>
      <c r="AD758" s="28" t="s">
        <v>7665</v>
      </c>
      <c r="AE758" s="54"/>
      <c r="AF758" s="54"/>
      <c r="AG758" s="54"/>
      <c r="AH758" s="53"/>
      <c r="AI758" s="53" t="s">
        <v>1591</v>
      </c>
      <c r="AJ758" s="53" t="s">
        <v>1591</v>
      </c>
    </row>
    <row r="759" spans="1:36" s="3" customFormat="1" ht="84" x14ac:dyDescent="0.25">
      <c r="A759" s="17" t="s">
        <v>1090</v>
      </c>
      <c r="B759" s="18" t="s">
        <v>37</v>
      </c>
      <c r="C759" s="76" t="s">
        <v>4967</v>
      </c>
      <c r="D759" s="45" t="s">
        <v>4968</v>
      </c>
      <c r="E759" s="78"/>
      <c r="F759" s="79"/>
      <c r="G759" s="80"/>
      <c r="H759" s="80"/>
      <c r="I759" s="78" t="s">
        <v>1066</v>
      </c>
      <c r="J759" s="79" t="s">
        <v>1067</v>
      </c>
      <c r="K759" s="81" t="s">
        <v>220</v>
      </c>
      <c r="L759" s="82">
        <v>42197</v>
      </c>
      <c r="M759" s="83">
        <v>42287</v>
      </c>
      <c r="N759" s="80">
        <v>143719.79999999999</v>
      </c>
      <c r="O759" s="82" t="s">
        <v>4969</v>
      </c>
      <c r="P759" s="84" t="s">
        <v>46</v>
      </c>
      <c r="Q759" s="80">
        <v>0</v>
      </c>
      <c r="R759" s="80">
        <v>143719.79999999999</v>
      </c>
      <c r="S759" s="80"/>
      <c r="T759" s="81"/>
      <c r="U759" s="80">
        <v>8417.4699999999993</v>
      </c>
      <c r="V759" s="80"/>
      <c r="W759" s="80"/>
      <c r="X759" s="80">
        <v>8417.4699999999993</v>
      </c>
      <c r="Y759" s="76" t="s">
        <v>175</v>
      </c>
      <c r="Z759" s="19" t="s">
        <v>7038</v>
      </c>
      <c r="AA759" s="28" t="s">
        <v>7663</v>
      </c>
      <c r="AB759" s="56">
        <v>43418</v>
      </c>
      <c r="AC759" s="28" t="s">
        <v>7664</v>
      </c>
      <c r="AD759" s="28" t="s">
        <v>7665</v>
      </c>
      <c r="AE759" s="54"/>
      <c r="AF759" s="54"/>
      <c r="AG759" s="54"/>
      <c r="AH759" s="53"/>
      <c r="AI759" s="53" t="s">
        <v>1591</v>
      </c>
      <c r="AJ759" s="53" t="s">
        <v>1591</v>
      </c>
    </row>
    <row r="760" spans="1:36" s="3" customFormat="1" ht="48" x14ac:dyDescent="0.25">
      <c r="A760" s="17" t="s">
        <v>1090</v>
      </c>
      <c r="B760" s="18" t="s">
        <v>37</v>
      </c>
      <c r="C760" s="76" t="s">
        <v>4970</v>
      </c>
      <c r="D760" s="45" t="s">
        <v>4971</v>
      </c>
      <c r="E760" s="78"/>
      <c r="F760" s="79"/>
      <c r="G760" s="80"/>
      <c r="H760" s="80"/>
      <c r="I760" s="78" t="s">
        <v>4962</v>
      </c>
      <c r="J760" s="79" t="s">
        <v>4963</v>
      </c>
      <c r="K760" s="81" t="s">
        <v>979</v>
      </c>
      <c r="L760" s="82">
        <v>42245</v>
      </c>
      <c r="M760" s="83">
        <v>42335</v>
      </c>
      <c r="N760" s="80">
        <v>138866.44</v>
      </c>
      <c r="O760" s="82">
        <v>42335</v>
      </c>
      <c r="P760" s="84" t="s">
        <v>46</v>
      </c>
      <c r="Q760" s="80">
        <v>0</v>
      </c>
      <c r="R760" s="80">
        <v>138866.44</v>
      </c>
      <c r="S760" s="80"/>
      <c r="T760" s="81"/>
      <c r="U760" s="80">
        <v>109130.96</v>
      </c>
      <c r="V760" s="80"/>
      <c r="W760" s="80"/>
      <c r="X760" s="80">
        <v>109130.96</v>
      </c>
      <c r="Y760" s="76" t="s">
        <v>468</v>
      </c>
      <c r="Z760" s="19" t="s">
        <v>7038</v>
      </c>
      <c r="AA760" s="28" t="s">
        <v>7663</v>
      </c>
      <c r="AB760" s="56">
        <v>43418</v>
      </c>
      <c r="AC760" s="28" t="s">
        <v>7664</v>
      </c>
      <c r="AD760" s="28" t="s">
        <v>7665</v>
      </c>
      <c r="AE760" s="54"/>
      <c r="AF760" s="54"/>
      <c r="AG760" s="54"/>
      <c r="AH760" s="53"/>
      <c r="AI760" s="53" t="s">
        <v>1591</v>
      </c>
      <c r="AJ760" s="53" t="s">
        <v>1591</v>
      </c>
    </row>
    <row r="761" spans="1:36" s="3" customFormat="1" ht="48" x14ac:dyDescent="0.25">
      <c r="A761" s="17" t="s">
        <v>1090</v>
      </c>
      <c r="B761" s="18" t="s">
        <v>37</v>
      </c>
      <c r="C761" s="19" t="s">
        <v>750</v>
      </c>
      <c r="D761" s="45" t="s">
        <v>1108</v>
      </c>
      <c r="E761" s="50" t="s">
        <v>46</v>
      </c>
      <c r="F761" s="58" t="s">
        <v>3783</v>
      </c>
      <c r="G761" s="51"/>
      <c r="H761" s="51"/>
      <c r="I761" s="50" t="s">
        <v>1106</v>
      </c>
      <c r="J761" s="58" t="s">
        <v>1107</v>
      </c>
      <c r="K761" s="52" t="s">
        <v>329</v>
      </c>
      <c r="L761" s="59">
        <v>42650</v>
      </c>
      <c r="M761" s="60">
        <f>L761+180</f>
        <v>42830</v>
      </c>
      <c r="N761" s="51">
        <v>103497.64</v>
      </c>
      <c r="O761" s="59" t="s">
        <v>3911</v>
      </c>
      <c r="P761" s="59">
        <v>0</v>
      </c>
      <c r="Q761" s="51">
        <f>128162.06-N761</f>
        <v>24664.42</v>
      </c>
      <c r="R761" s="51">
        <f>N761+Q761</f>
        <v>128162.06</v>
      </c>
      <c r="S761" s="51"/>
      <c r="T761" s="52"/>
      <c r="U761" s="51">
        <v>97682.05</v>
      </c>
      <c r="V761" s="51">
        <v>0</v>
      </c>
      <c r="W761" s="51">
        <v>0</v>
      </c>
      <c r="X761" s="51">
        <v>97682.05</v>
      </c>
      <c r="Y761" s="19" t="s">
        <v>472</v>
      </c>
      <c r="Z761" s="19"/>
      <c r="AA761" s="28" t="s">
        <v>7663</v>
      </c>
      <c r="AB761" s="56">
        <v>43418</v>
      </c>
      <c r="AC761" s="28" t="s">
        <v>7664</v>
      </c>
      <c r="AD761" s="28" t="s">
        <v>7665</v>
      </c>
      <c r="AE761" s="54"/>
      <c r="AF761" s="54"/>
      <c r="AG761" s="54" t="s">
        <v>8313</v>
      </c>
      <c r="AH761" s="53" t="s">
        <v>1591</v>
      </c>
      <c r="AI761" s="53" t="s">
        <v>2686</v>
      </c>
      <c r="AJ761" s="53" t="s">
        <v>1591</v>
      </c>
    </row>
    <row r="762" spans="1:36" s="3" customFormat="1" ht="36" x14ac:dyDescent="0.25">
      <c r="A762" s="17" t="s">
        <v>1090</v>
      </c>
      <c r="B762" s="18" t="s">
        <v>37</v>
      </c>
      <c r="C762" s="76" t="s">
        <v>746</v>
      </c>
      <c r="D762" s="45" t="s">
        <v>4972</v>
      </c>
      <c r="E762" s="78"/>
      <c r="F762" s="79"/>
      <c r="G762" s="80"/>
      <c r="H762" s="80"/>
      <c r="I762" s="78" t="s">
        <v>1066</v>
      </c>
      <c r="J762" s="79" t="s">
        <v>1067</v>
      </c>
      <c r="K762" s="81" t="s">
        <v>923</v>
      </c>
      <c r="L762" s="82">
        <v>42576</v>
      </c>
      <c r="M762" s="83">
        <v>42696</v>
      </c>
      <c r="N762" s="80">
        <v>39075.379999999997</v>
      </c>
      <c r="O762" s="82" t="s">
        <v>46</v>
      </c>
      <c r="P762" s="84" t="s">
        <v>46</v>
      </c>
      <c r="Q762" s="80">
        <v>0</v>
      </c>
      <c r="R762" s="80">
        <v>39075.379999999997</v>
      </c>
      <c r="S762" s="80"/>
      <c r="T762" s="81"/>
      <c r="U762" s="80"/>
      <c r="V762" s="80"/>
      <c r="W762" s="80"/>
      <c r="X762" s="80"/>
      <c r="Y762" s="76" t="s">
        <v>175</v>
      </c>
      <c r="Z762" s="19" t="s">
        <v>7038</v>
      </c>
      <c r="AA762" s="28" t="s">
        <v>7663</v>
      </c>
      <c r="AB762" s="56">
        <v>43418</v>
      </c>
      <c r="AC762" s="28" t="s">
        <v>7664</v>
      </c>
      <c r="AD762" s="28" t="s">
        <v>7665</v>
      </c>
      <c r="AE762" s="54"/>
      <c r="AF762" s="54"/>
      <c r="AG762" s="54"/>
      <c r="AH762" s="53"/>
      <c r="AI762" s="53" t="s">
        <v>1591</v>
      </c>
      <c r="AJ762" s="53" t="s">
        <v>1591</v>
      </c>
    </row>
    <row r="763" spans="1:36" s="3" customFormat="1" ht="60" x14ac:dyDescent="0.25">
      <c r="A763" s="17" t="s">
        <v>1131</v>
      </c>
      <c r="B763" s="18" t="s">
        <v>37</v>
      </c>
      <c r="C763" s="76" t="s">
        <v>1133</v>
      </c>
      <c r="D763" s="45" t="s">
        <v>4975</v>
      </c>
      <c r="E763" s="78"/>
      <c r="F763" s="79" t="s">
        <v>43</v>
      </c>
      <c r="G763" s="80">
        <v>606200.22</v>
      </c>
      <c r="H763" s="80" t="s">
        <v>46</v>
      </c>
      <c r="I763" s="78" t="s">
        <v>4976</v>
      </c>
      <c r="J763" s="79" t="s">
        <v>4977</v>
      </c>
      <c r="K763" s="81" t="s">
        <v>839</v>
      </c>
      <c r="L763" s="82">
        <v>42067</v>
      </c>
      <c r="M763" s="83">
        <v>42247</v>
      </c>
      <c r="N763" s="80">
        <v>509097.99</v>
      </c>
      <c r="O763" s="82">
        <v>42247</v>
      </c>
      <c r="P763" s="84"/>
      <c r="Q763" s="80">
        <v>3000</v>
      </c>
      <c r="R763" s="80">
        <v>512097.99</v>
      </c>
      <c r="S763" s="80"/>
      <c r="T763" s="81" t="s">
        <v>907</v>
      </c>
      <c r="U763" s="80">
        <v>14597.62</v>
      </c>
      <c r="V763" s="80"/>
      <c r="W763" s="80"/>
      <c r="X763" s="80">
        <v>14597.62</v>
      </c>
      <c r="Y763" s="76" t="s">
        <v>175</v>
      </c>
      <c r="Z763" s="19" t="s">
        <v>7038</v>
      </c>
      <c r="AA763" s="28" t="s">
        <v>7667</v>
      </c>
      <c r="AB763" s="56">
        <v>43416</v>
      </c>
      <c r="AC763" s="28" t="s">
        <v>7257</v>
      </c>
      <c r="AD763" s="28" t="s">
        <v>7668</v>
      </c>
      <c r="AE763" s="54" t="s">
        <v>7669</v>
      </c>
      <c r="AF763" s="54"/>
      <c r="AG763" s="54" t="s">
        <v>7670</v>
      </c>
      <c r="AH763" s="53" t="s">
        <v>1591</v>
      </c>
      <c r="AI763" s="53" t="s">
        <v>2686</v>
      </c>
      <c r="AJ763" s="53" t="s">
        <v>1591</v>
      </c>
    </row>
    <row r="764" spans="1:36" s="3" customFormat="1" ht="84" x14ac:dyDescent="0.25">
      <c r="A764" s="17" t="s">
        <v>1131</v>
      </c>
      <c r="B764" s="18" t="s">
        <v>37</v>
      </c>
      <c r="C764" s="76" t="s">
        <v>39</v>
      </c>
      <c r="D764" s="77" t="s">
        <v>4981</v>
      </c>
      <c r="E764" s="78"/>
      <c r="F764" s="79"/>
      <c r="G764" s="80" t="s">
        <v>46</v>
      </c>
      <c r="H764" s="80" t="s">
        <v>46</v>
      </c>
      <c r="I764" s="78" t="s">
        <v>4982</v>
      </c>
      <c r="J764" s="79" t="s">
        <v>4983</v>
      </c>
      <c r="K764" s="81" t="s">
        <v>839</v>
      </c>
      <c r="L764" s="82"/>
      <c r="M764" s="83"/>
      <c r="N764" s="80"/>
      <c r="O764" s="82" t="s">
        <v>39</v>
      </c>
      <c r="P764" s="84"/>
      <c r="Q764" s="80">
        <v>0</v>
      </c>
      <c r="R764" s="80"/>
      <c r="S764" s="80"/>
      <c r="T764" s="81" t="s">
        <v>907</v>
      </c>
      <c r="U764" s="80">
        <v>1032.8599999999999</v>
      </c>
      <c r="V764" s="80"/>
      <c r="W764" s="80"/>
      <c r="X764" s="80">
        <v>1032.8599999999999</v>
      </c>
      <c r="Y764" s="76" t="s">
        <v>468</v>
      </c>
      <c r="Z764" s="19" t="s">
        <v>7038</v>
      </c>
      <c r="AA764" s="28" t="s">
        <v>7667</v>
      </c>
      <c r="AB764" s="56">
        <v>43416</v>
      </c>
      <c r="AC764" s="28" t="s">
        <v>7257</v>
      </c>
      <c r="AD764" s="28" t="s">
        <v>7668</v>
      </c>
      <c r="AE764" s="54" t="s">
        <v>7671</v>
      </c>
      <c r="AF764" s="54"/>
      <c r="AG764" s="54" t="s">
        <v>7397</v>
      </c>
      <c r="AH764" s="53" t="s">
        <v>1591</v>
      </c>
      <c r="AI764" s="53" t="s">
        <v>2686</v>
      </c>
      <c r="AJ764" s="53" t="s">
        <v>1591</v>
      </c>
    </row>
    <row r="765" spans="1:36" s="3" customFormat="1" ht="84" x14ac:dyDescent="0.25">
      <c r="A765" s="17" t="s">
        <v>1131</v>
      </c>
      <c r="B765" s="18" t="s">
        <v>37</v>
      </c>
      <c r="C765" s="76"/>
      <c r="D765" s="77" t="s">
        <v>4984</v>
      </c>
      <c r="E765" s="78"/>
      <c r="F765" s="79"/>
      <c r="G765" s="80"/>
      <c r="H765" s="80"/>
      <c r="I765" s="78" t="s">
        <v>1132</v>
      </c>
      <c r="J765" s="79" t="s">
        <v>4974</v>
      </c>
      <c r="K765" s="81" t="s">
        <v>839</v>
      </c>
      <c r="L765" s="82"/>
      <c r="M765" s="83"/>
      <c r="N765" s="80"/>
      <c r="O765" s="82"/>
      <c r="P765" s="84"/>
      <c r="Q765" s="80">
        <v>0</v>
      </c>
      <c r="R765" s="80"/>
      <c r="S765" s="80"/>
      <c r="T765" s="81" t="s">
        <v>907</v>
      </c>
      <c r="U765" s="80">
        <v>80484.55</v>
      </c>
      <c r="V765" s="80"/>
      <c r="W765" s="80"/>
      <c r="X765" s="80">
        <v>80484.55</v>
      </c>
      <c r="Y765" s="76" t="s">
        <v>468</v>
      </c>
      <c r="Z765" s="19" t="s">
        <v>7038</v>
      </c>
      <c r="AA765" s="28" t="s">
        <v>7667</v>
      </c>
      <c r="AB765" s="56">
        <v>43416</v>
      </c>
      <c r="AC765" s="28" t="s">
        <v>7257</v>
      </c>
      <c r="AD765" s="28" t="s">
        <v>7668</v>
      </c>
      <c r="AE765" s="54" t="s">
        <v>7672</v>
      </c>
      <c r="AF765" s="54"/>
      <c r="AG765" s="54" t="s">
        <v>7397</v>
      </c>
      <c r="AH765" s="53" t="s">
        <v>1591</v>
      </c>
      <c r="AI765" s="53" t="s">
        <v>2686</v>
      </c>
      <c r="AJ765" s="53" t="s">
        <v>1591</v>
      </c>
    </row>
    <row r="766" spans="1:36" s="3" customFormat="1" ht="84" x14ac:dyDescent="0.25">
      <c r="A766" s="17" t="s">
        <v>1131</v>
      </c>
      <c r="B766" s="18" t="s">
        <v>37</v>
      </c>
      <c r="C766" s="76"/>
      <c r="D766" s="77" t="s">
        <v>4980</v>
      </c>
      <c r="E766" s="78"/>
      <c r="F766" s="79"/>
      <c r="G766" s="80" t="s">
        <v>46</v>
      </c>
      <c r="H766" s="80" t="s">
        <v>46</v>
      </c>
      <c r="I766" s="78" t="s">
        <v>1134</v>
      </c>
      <c r="J766" s="79" t="s">
        <v>4973</v>
      </c>
      <c r="K766" s="81" t="s">
        <v>839</v>
      </c>
      <c r="L766" s="82"/>
      <c r="M766" s="83"/>
      <c r="N766" s="80"/>
      <c r="O766" s="82"/>
      <c r="P766" s="84"/>
      <c r="Q766" s="80">
        <v>0</v>
      </c>
      <c r="R766" s="80"/>
      <c r="S766" s="80"/>
      <c r="T766" s="81" t="s">
        <v>907</v>
      </c>
      <c r="U766" s="80">
        <v>119301.23</v>
      </c>
      <c r="V766" s="80"/>
      <c r="W766" s="80"/>
      <c r="X766" s="80">
        <v>119301.23</v>
      </c>
      <c r="Y766" s="76" t="s">
        <v>468</v>
      </c>
      <c r="Z766" s="19" t="s">
        <v>7038</v>
      </c>
      <c r="AA766" s="28" t="s">
        <v>7667</v>
      </c>
      <c r="AB766" s="56">
        <v>43416</v>
      </c>
      <c r="AC766" s="28" t="s">
        <v>7257</v>
      </c>
      <c r="AD766" s="28" t="s">
        <v>7668</v>
      </c>
      <c r="AE766" s="54" t="s">
        <v>7673</v>
      </c>
      <c r="AF766" s="54"/>
      <c r="AG766" s="54" t="s">
        <v>7397</v>
      </c>
      <c r="AH766" s="53" t="s">
        <v>1591</v>
      </c>
      <c r="AI766" s="53" t="s">
        <v>2686</v>
      </c>
      <c r="AJ766" s="53" t="s">
        <v>1591</v>
      </c>
    </row>
    <row r="767" spans="1:36" s="3" customFormat="1" ht="84" x14ac:dyDescent="0.25">
      <c r="A767" s="17" t="s">
        <v>1131</v>
      </c>
      <c r="B767" s="18" t="s">
        <v>37</v>
      </c>
      <c r="C767" s="76"/>
      <c r="D767" s="77" t="s">
        <v>4978</v>
      </c>
      <c r="E767" s="78"/>
      <c r="F767" s="79"/>
      <c r="G767" s="80" t="s">
        <v>46</v>
      </c>
      <c r="H767" s="80" t="s">
        <v>46</v>
      </c>
      <c r="I767" s="78" t="s">
        <v>540</v>
      </c>
      <c r="J767" s="79" t="s">
        <v>4979</v>
      </c>
      <c r="K767" s="81" t="s">
        <v>839</v>
      </c>
      <c r="L767" s="82"/>
      <c r="M767" s="83"/>
      <c r="N767" s="80"/>
      <c r="O767" s="82"/>
      <c r="P767" s="84"/>
      <c r="Q767" s="80">
        <v>0</v>
      </c>
      <c r="R767" s="80"/>
      <c r="S767" s="80"/>
      <c r="T767" s="81" t="s">
        <v>907</v>
      </c>
      <c r="U767" s="80">
        <v>408027.72</v>
      </c>
      <c r="V767" s="80"/>
      <c r="W767" s="80"/>
      <c r="X767" s="80">
        <v>408027.72</v>
      </c>
      <c r="Y767" s="76" t="s">
        <v>468</v>
      </c>
      <c r="Z767" s="19" t="s">
        <v>7038</v>
      </c>
      <c r="AA767" s="28" t="s">
        <v>7667</v>
      </c>
      <c r="AB767" s="56">
        <v>43416</v>
      </c>
      <c r="AC767" s="28" t="s">
        <v>7257</v>
      </c>
      <c r="AD767" s="28" t="s">
        <v>7668</v>
      </c>
      <c r="AE767" s="54" t="s">
        <v>7673</v>
      </c>
      <c r="AF767" s="54"/>
      <c r="AG767" s="54" t="s">
        <v>7397</v>
      </c>
      <c r="AH767" s="53" t="s">
        <v>1591</v>
      </c>
      <c r="AI767" s="53" t="s">
        <v>2686</v>
      </c>
      <c r="AJ767" s="53" t="s">
        <v>1591</v>
      </c>
    </row>
    <row r="768" spans="1:36" s="3" customFormat="1" ht="36" x14ac:dyDescent="0.25">
      <c r="A768" s="17" t="s">
        <v>1140</v>
      </c>
      <c r="B768" s="18" t="s">
        <v>37</v>
      </c>
      <c r="C768" s="76" t="s">
        <v>4989</v>
      </c>
      <c r="D768" s="45" t="s">
        <v>4990</v>
      </c>
      <c r="E768" s="78" t="s">
        <v>4991</v>
      </c>
      <c r="F768" s="79" t="s">
        <v>4988</v>
      </c>
      <c r="G768" s="80">
        <v>32523.91</v>
      </c>
      <c r="H768" s="80">
        <v>47873.760000000002</v>
      </c>
      <c r="I768" s="78" t="s">
        <v>520</v>
      </c>
      <c r="J768" s="79" t="s">
        <v>4992</v>
      </c>
      <c r="K768" s="81" t="s">
        <v>4333</v>
      </c>
      <c r="L768" s="82">
        <v>42354</v>
      </c>
      <c r="M768" s="83">
        <v>42534</v>
      </c>
      <c r="N768" s="80">
        <v>79990</v>
      </c>
      <c r="O768" s="82"/>
      <c r="P768" s="84"/>
      <c r="Q768" s="80">
        <v>0</v>
      </c>
      <c r="R768" s="80">
        <v>79990</v>
      </c>
      <c r="S768" s="80">
        <v>0</v>
      </c>
      <c r="T768" s="81" t="s">
        <v>32</v>
      </c>
      <c r="U768" s="80"/>
      <c r="V768" s="80"/>
      <c r="W768" s="80"/>
      <c r="X768" s="80"/>
      <c r="Y768" s="76" t="s">
        <v>133</v>
      </c>
      <c r="Z768" s="19" t="s">
        <v>7038</v>
      </c>
      <c r="AA768" s="28"/>
      <c r="AB768" s="56"/>
      <c r="AC768" s="28"/>
      <c r="AD768" s="28"/>
      <c r="AE768" s="54"/>
      <c r="AF768" s="54"/>
      <c r="AG768" s="54"/>
      <c r="AH768" s="53"/>
      <c r="AI768" s="53" t="s">
        <v>1591</v>
      </c>
      <c r="AJ768" s="53" t="s">
        <v>1591</v>
      </c>
    </row>
    <row r="769" spans="1:36" s="3" customFormat="1" ht="36" x14ac:dyDescent="0.25">
      <c r="A769" s="17" t="s">
        <v>1145</v>
      </c>
      <c r="B769" s="18" t="s">
        <v>37</v>
      </c>
      <c r="C769" s="19" t="s">
        <v>3493</v>
      </c>
      <c r="D769" s="45" t="s">
        <v>3494</v>
      </c>
      <c r="E769" s="50" t="s">
        <v>3792</v>
      </c>
      <c r="F769" s="58" t="s">
        <v>43</v>
      </c>
      <c r="G769" s="51"/>
      <c r="H769" s="51"/>
      <c r="I769" s="50" t="s">
        <v>3793</v>
      </c>
      <c r="J769" s="58" t="s">
        <v>3794</v>
      </c>
      <c r="K769" s="52" t="s">
        <v>3795</v>
      </c>
      <c r="L769" s="59">
        <v>42444</v>
      </c>
      <c r="M769" s="60">
        <f>L769+240</f>
        <v>42684</v>
      </c>
      <c r="N769" s="51">
        <v>1282258.29</v>
      </c>
      <c r="O769" s="59" t="s">
        <v>387</v>
      </c>
      <c r="P769" s="59">
        <f>M769+240</f>
        <v>42924</v>
      </c>
      <c r="Q769" s="51"/>
      <c r="R769" s="51">
        <f>N769+Q769</f>
        <v>1282258.29</v>
      </c>
      <c r="S769" s="51"/>
      <c r="T769" s="52" t="s">
        <v>1139</v>
      </c>
      <c r="U769" s="51">
        <v>51266.65</v>
      </c>
      <c r="V769" s="51">
        <v>51266.65</v>
      </c>
      <c r="W769" s="51">
        <v>51266.65</v>
      </c>
      <c r="X769" s="51">
        <v>318772.90000000002</v>
      </c>
      <c r="Y769" s="19" t="s">
        <v>714</v>
      </c>
      <c r="Z769" s="19"/>
      <c r="AA769" s="28"/>
      <c r="AB769" s="56"/>
      <c r="AC769" s="28"/>
      <c r="AD769" s="28"/>
      <c r="AE769" s="54"/>
      <c r="AF769" s="54"/>
      <c r="AG769" s="54"/>
      <c r="AH769" s="53"/>
      <c r="AI769" s="53" t="s">
        <v>1591</v>
      </c>
      <c r="AJ769" s="53" t="s">
        <v>1591</v>
      </c>
    </row>
    <row r="770" spans="1:36" s="3" customFormat="1" ht="36" x14ac:dyDescent="0.25">
      <c r="A770" s="17" t="s">
        <v>1145</v>
      </c>
      <c r="B770" s="18" t="s">
        <v>37</v>
      </c>
      <c r="C770" s="19" t="s">
        <v>894</v>
      </c>
      <c r="D770" s="45" t="s">
        <v>3495</v>
      </c>
      <c r="E770" s="50" t="s">
        <v>3796</v>
      </c>
      <c r="F770" s="58" t="s">
        <v>43</v>
      </c>
      <c r="G770" s="51"/>
      <c r="H770" s="51"/>
      <c r="I770" s="50" t="s">
        <v>3793</v>
      </c>
      <c r="J770" s="58" t="s">
        <v>3794</v>
      </c>
      <c r="K770" s="52" t="s">
        <v>3797</v>
      </c>
      <c r="L770" s="59">
        <v>42080</v>
      </c>
      <c r="M770" s="60">
        <f>L770+240</f>
        <v>42320</v>
      </c>
      <c r="N770" s="51">
        <v>588068.34</v>
      </c>
      <c r="O770" s="59" t="s">
        <v>387</v>
      </c>
      <c r="P770" s="59">
        <f>M770+240</f>
        <v>42560</v>
      </c>
      <c r="Q770" s="51"/>
      <c r="R770" s="51">
        <f>N770+Q770</f>
        <v>588068.34</v>
      </c>
      <c r="S770" s="51"/>
      <c r="T770" s="52" t="s">
        <v>1139</v>
      </c>
      <c r="U770" s="51">
        <v>36545.18</v>
      </c>
      <c r="V770" s="51">
        <v>36545.18</v>
      </c>
      <c r="W770" s="51">
        <v>36545.18</v>
      </c>
      <c r="X770" s="51">
        <v>450932.37</v>
      </c>
      <c r="Y770" s="19" t="s">
        <v>714</v>
      </c>
      <c r="Z770" s="19"/>
      <c r="AA770" s="28"/>
      <c r="AB770" s="56"/>
      <c r="AC770" s="28"/>
      <c r="AD770" s="28"/>
      <c r="AE770" s="54"/>
      <c r="AF770" s="54"/>
      <c r="AG770" s="54"/>
      <c r="AH770" s="53"/>
      <c r="AI770" s="53" t="s">
        <v>1591</v>
      </c>
      <c r="AJ770" s="53" t="s">
        <v>1591</v>
      </c>
    </row>
    <row r="771" spans="1:36" s="3" customFormat="1" ht="36" x14ac:dyDescent="0.25">
      <c r="A771" s="17" t="s">
        <v>1145</v>
      </c>
      <c r="B771" s="18" t="s">
        <v>37</v>
      </c>
      <c r="C771" s="76" t="s">
        <v>1005</v>
      </c>
      <c r="D771" s="45" t="s">
        <v>4994</v>
      </c>
      <c r="E771" s="78" t="s">
        <v>4995</v>
      </c>
      <c r="F771" s="79" t="s">
        <v>43</v>
      </c>
      <c r="G771" s="80">
        <v>502314.88</v>
      </c>
      <c r="H771" s="80">
        <v>85749.46</v>
      </c>
      <c r="I771" s="78" t="s">
        <v>1146</v>
      </c>
      <c r="J771" s="79" t="s">
        <v>4993</v>
      </c>
      <c r="K771" s="81" t="s">
        <v>237</v>
      </c>
      <c r="L771" s="82">
        <v>41837</v>
      </c>
      <c r="M771" s="83">
        <v>42077</v>
      </c>
      <c r="N771" s="80">
        <v>588064.34</v>
      </c>
      <c r="O771" s="82">
        <v>42077</v>
      </c>
      <c r="P771" s="84" t="s">
        <v>46</v>
      </c>
      <c r="Q771" s="80">
        <v>0</v>
      </c>
      <c r="R771" s="80">
        <v>588064.34</v>
      </c>
      <c r="S771" s="80"/>
      <c r="T771" s="81" t="s">
        <v>991</v>
      </c>
      <c r="U771" s="80">
        <v>46091.42</v>
      </c>
      <c r="V771" s="80"/>
      <c r="W771" s="80"/>
      <c r="X771" s="80">
        <v>388541.98</v>
      </c>
      <c r="Y771" s="76" t="s">
        <v>42</v>
      </c>
      <c r="Z771" s="19" t="s">
        <v>7038</v>
      </c>
      <c r="AA771" s="28"/>
      <c r="AB771" s="56"/>
      <c r="AC771" s="28"/>
      <c r="AD771" s="28"/>
      <c r="AE771" s="54"/>
      <c r="AF771" s="54"/>
      <c r="AG771" s="54"/>
      <c r="AH771" s="53"/>
      <c r="AI771" s="53" t="s">
        <v>1591</v>
      </c>
      <c r="AJ771" s="53" t="s">
        <v>1591</v>
      </c>
    </row>
    <row r="772" spans="1:36" s="3" customFormat="1" ht="36" x14ac:dyDescent="0.25">
      <c r="A772" s="17" t="s">
        <v>1145</v>
      </c>
      <c r="B772" s="18" t="s">
        <v>37</v>
      </c>
      <c r="C772" s="19" t="s">
        <v>3496</v>
      </c>
      <c r="D772" s="45" t="s">
        <v>3497</v>
      </c>
      <c r="E772" s="50" t="s">
        <v>368</v>
      </c>
      <c r="F772" s="58" t="s">
        <v>950</v>
      </c>
      <c r="G772" s="51"/>
      <c r="H772" s="51"/>
      <c r="I772" s="50" t="s">
        <v>3798</v>
      </c>
      <c r="J772" s="58" t="s">
        <v>2932</v>
      </c>
      <c r="K772" s="52" t="s">
        <v>3799</v>
      </c>
      <c r="L772" s="59">
        <v>41668</v>
      </c>
      <c r="M772" s="60">
        <f>L772+365</f>
        <v>42033</v>
      </c>
      <c r="N772" s="51">
        <v>413259.07</v>
      </c>
      <c r="O772" s="59" t="s">
        <v>387</v>
      </c>
      <c r="P772" s="59">
        <f>M772+365</f>
        <v>42398</v>
      </c>
      <c r="Q772" s="51"/>
      <c r="R772" s="51">
        <f>N772+Q772</f>
        <v>413259.07</v>
      </c>
      <c r="S772" s="51"/>
      <c r="T772" s="51" t="s">
        <v>1139</v>
      </c>
      <c r="U772" s="69" t="s">
        <v>387</v>
      </c>
      <c r="V772" s="51" t="s">
        <v>410</v>
      </c>
      <c r="W772" s="51"/>
      <c r="X772" s="51">
        <v>320806.89</v>
      </c>
      <c r="Y772" s="70" t="s">
        <v>1163</v>
      </c>
      <c r="Z772" s="70"/>
      <c r="AA772" s="28"/>
      <c r="AB772" s="56"/>
      <c r="AC772" s="28"/>
      <c r="AD772" s="28"/>
      <c r="AE772" s="54"/>
      <c r="AF772" s="54"/>
      <c r="AG772" s="54"/>
      <c r="AH772" s="53"/>
      <c r="AI772" s="53" t="s">
        <v>1591</v>
      </c>
      <c r="AJ772" s="53" t="s">
        <v>1591</v>
      </c>
    </row>
    <row r="773" spans="1:36" s="3" customFormat="1" ht="36" x14ac:dyDescent="0.25">
      <c r="A773" s="17" t="s">
        <v>1145</v>
      </c>
      <c r="B773" s="18" t="s">
        <v>37</v>
      </c>
      <c r="C773" s="76" t="s">
        <v>4996</v>
      </c>
      <c r="D773" s="45" t="s">
        <v>4999</v>
      </c>
      <c r="E773" s="78" t="s">
        <v>5000</v>
      </c>
      <c r="F773" s="79" t="s">
        <v>1004</v>
      </c>
      <c r="G773" s="80">
        <v>408000</v>
      </c>
      <c r="H773" s="80">
        <v>1251.94</v>
      </c>
      <c r="I773" s="78" t="s">
        <v>4997</v>
      </c>
      <c r="J773" s="79" t="s">
        <v>4998</v>
      </c>
      <c r="K773" s="81" t="s">
        <v>581</v>
      </c>
      <c r="L773" s="82">
        <v>41654</v>
      </c>
      <c r="M773" s="83">
        <v>41834</v>
      </c>
      <c r="N773" s="80">
        <v>409251.94</v>
      </c>
      <c r="O773" s="82" t="s">
        <v>46</v>
      </c>
      <c r="P773" s="84" t="s">
        <v>46</v>
      </c>
      <c r="Q773" s="80">
        <v>0</v>
      </c>
      <c r="R773" s="80">
        <v>409251.94</v>
      </c>
      <c r="S773" s="80"/>
      <c r="T773" s="81" t="s">
        <v>991</v>
      </c>
      <c r="U773" s="80"/>
      <c r="V773" s="80"/>
      <c r="W773" s="80"/>
      <c r="X773" s="80">
        <v>321425.21999999997</v>
      </c>
      <c r="Y773" s="76" t="s">
        <v>42</v>
      </c>
      <c r="Z773" s="19" t="s">
        <v>7038</v>
      </c>
      <c r="AA773" s="28"/>
      <c r="AB773" s="56"/>
      <c r="AC773" s="28"/>
      <c r="AD773" s="28"/>
      <c r="AE773" s="54"/>
      <c r="AF773" s="54"/>
      <c r="AG773" s="54"/>
      <c r="AH773" s="53"/>
      <c r="AI773" s="53" t="s">
        <v>1591</v>
      </c>
      <c r="AJ773" s="53" t="s">
        <v>1591</v>
      </c>
    </row>
    <row r="774" spans="1:36" s="3" customFormat="1" ht="36" x14ac:dyDescent="0.25">
      <c r="A774" s="35" t="s">
        <v>2790</v>
      </c>
      <c r="B774" s="18" t="s">
        <v>37</v>
      </c>
      <c r="C774" s="76"/>
      <c r="D774" s="43" t="s">
        <v>5001</v>
      </c>
      <c r="E774" s="78"/>
      <c r="F774" s="36" t="s">
        <v>1683</v>
      </c>
      <c r="G774" s="80"/>
      <c r="H774" s="80"/>
      <c r="I774" s="36" t="s">
        <v>5002</v>
      </c>
      <c r="J774" s="34" t="s">
        <v>5003</v>
      </c>
      <c r="K774" s="37" t="s">
        <v>5004</v>
      </c>
      <c r="L774" s="38">
        <v>40723</v>
      </c>
      <c r="M774" s="39">
        <v>40873</v>
      </c>
      <c r="N774" s="42">
        <v>155918.06</v>
      </c>
      <c r="O774" s="85"/>
      <c r="P774" s="86"/>
      <c r="Q774" s="41">
        <v>146.55000000000001</v>
      </c>
      <c r="R774" s="41">
        <v>156064.60999999999</v>
      </c>
      <c r="S774" s="80"/>
      <c r="T774" s="81"/>
      <c r="U774" s="80"/>
      <c r="V774" s="80"/>
      <c r="W774" s="42"/>
      <c r="X774" s="42">
        <v>75794.929999999993</v>
      </c>
      <c r="Y774" s="34" t="s">
        <v>4321</v>
      </c>
      <c r="Z774" s="19" t="s">
        <v>7038</v>
      </c>
      <c r="AA774" s="28"/>
      <c r="AB774" s="56"/>
      <c r="AC774" s="28"/>
      <c r="AD774" s="28"/>
      <c r="AE774" s="54"/>
      <c r="AF774" s="54"/>
      <c r="AG774" s="54"/>
      <c r="AH774" s="53"/>
      <c r="AI774" s="53" t="s">
        <v>1591</v>
      </c>
      <c r="AJ774" s="53" t="s">
        <v>1591</v>
      </c>
    </row>
    <row r="775" spans="1:36" s="3" customFormat="1" ht="36" x14ac:dyDescent="0.25">
      <c r="A775" s="17" t="s">
        <v>1145</v>
      </c>
      <c r="B775" s="18" t="s">
        <v>37</v>
      </c>
      <c r="C775" s="19" t="s">
        <v>3498</v>
      </c>
      <c r="D775" s="45" t="s">
        <v>3037</v>
      </c>
      <c r="E775" s="50" t="s">
        <v>3800</v>
      </c>
      <c r="F775" s="58" t="s">
        <v>3801</v>
      </c>
      <c r="G775" s="51"/>
      <c r="H775" s="51"/>
      <c r="I775" s="50" t="s">
        <v>3798</v>
      </c>
      <c r="J775" s="58" t="s">
        <v>2932</v>
      </c>
      <c r="K775" s="52" t="s">
        <v>3802</v>
      </c>
      <c r="L775" s="59"/>
      <c r="M775" s="60">
        <f>L775+60</f>
        <v>60</v>
      </c>
      <c r="N775" s="51">
        <v>89635.56</v>
      </c>
      <c r="O775" s="59" t="s">
        <v>1988</v>
      </c>
      <c r="P775" s="59">
        <v>0</v>
      </c>
      <c r="Q775" s="51"/>
      <c r="R775" s="51">
        <f t="shared" ref="R775:R781" si="31">N775+Q775</f>
        <v>89635.56</v>
      </c>
      <c r="S775" s="51"/>
      <c r="T775" s="51" t="s">
        <v>1139</v>
      </c>
      <c r="U775" s="69" t="s">
        <v>387</v>
      </c>
      <c r="V775" s="51" t="s">
        <v>410</v>
      </c>
      <c r="W775" s="51"/>
      <c r="X775" s="51">
        <v>68007.41</v>
      </c>
      <c r="Y775" s="70" t="s">
        <v>1163</v>
      </c>
      <c r="Z775" s="70"/>
      <c r="AA775" s="28"/>
      <c r="AB775" s="56"/>
      <c r="AC775" s="28"/>
      <c r="AD775" s="28"/>
      <c r="AE775" s="54"/>
      <c r="AF775" s="54"/>
      <c r="AG775" s="54"/>
      <c r="AH775" s="53"/>
      <c r="AI775" s="53" t="s">
        <v>1591</v>
      </c>
      <c r="AJ775" s="53" t="s">
        <v>1591</v>
      </c>
    </row>
    <row r="776" spans="1:36" s="3" customFormat="1" ht="60" x14ac:dyDescent="0.25">
      <c r="A776" s="17" t="s">
        <v>1147</v>
      </c>
      <c r="B776" s="18" t="s">
        <v>37</v>
      </c>
      <c r="C776" s="19" t="s">
        <v>180</v>
      </c>
      <c r="D776" s="45" t="s">
        <v>3499</v>
      </c>
      <c r="E776" s="50"/>
      <c r="F776" s="58"/>
      <c r="G776" s="51"/>
      <c r="H776" s="51"/>
      <c r="I776" s="50" t="s">
        <v>636</v>
      </c>
      <c r="J776" s="58" t="s">
        <v>3803</v>
      </c>
      <c r="K776" s="52" t="s">
        <v>2064</v>
      </c>
      <c r="L776" s="59">
        <v>41969</v>
      </c>
      <c r="M776" s="60">
        <f>L776+365</f>
        <v>42334</v>
      </c>
      <c r="N776" s="51">
        <v>1375206.9</v>
      </c>
      <c r="O776" s="59" t="s">
        <v>1319</v>
      </c>
      <c r="P776" s="59">
        <v>0</v>
      </c>
      <c r="Q776" s="51"/>
      <c r="R776" s="51">
        <f t="shared" si="31"/>
        <v>1375206.9</v>
      </c>
      <c r="S776" s="51"/>
      <c r="T776" s="51" t="s">
        <v>52</v>
      </c>
      <c r="U776" s="69">
        <v>553645.41</v>
      </c>
      <c r="V776" s="51"/>
      <c r="W776" s="51"/>
      <c r="X776" s="51">
        <v>553645.41</v>
      </c>
      <c r="Y776" s="70" t="s">
        <v>1319</v>
      </c>
      <c r="Z776" s="70"/>
      <c r="AA776" s="28"/>
      <c r="AB776" s="56"/>
      <c r="AC776" s="28"/>
      <c r="AD776" s="28"/>
      <c r="AE776" s="54"/>
      <c r="AF776" s="54"/>
      <c r="AG776" s="54"/>
      <c r="AH776" s="53"/>
      <c r="AI776" s="53" t="s">
        <v>1591</v>
      </c>
      <c r="AJ776" s="53" t="s">
        <v>1591</v>
      </c>
    </row>
    <row r="777" spans="1:36" s="3" customFormat="1" ht="72" x14ac:dyDescent="0.25">
      <c r="A777" s="17" t="s">
        <v>1147</v>
      </c>
      <c r="B777" s="18" t="s">
        <v>37</v>
      </c>
      <c r="C777" s="19" t="s">
        <v>1008</v>
      </c>
      <c r="D777" s="45" t="s">
        <v>3501</v>
      </c>
      <c r="E777" s="50" t="s">
        <v>180</v>
      </c>
      <c r="F777" s="58" t="s">
        <v>180</v>
      </c>
      <c r="G777" s="51"/>
      <c r="H777" s="51"/>
      <c r="I777" s="50" t="s">
        <v>134</v>
      </c>
      <c r="J777" s="58" t="s">
        <v>3804</v>
      </c>
      <c r="K777" s="52" t="s">
        <v>2437</v>
      </c>
      <c r="L777" s="59">
        <v>41901</v>
      </c>
      <c r="M777" s="60">
        <f>L777+270</f>
        <v>42171</v>
      </c>
      <c r="N777" s="51">
        <v>495016.25</v>
      </c>
      <c r="O777" s="59" t="s">
        <v>175</v>
      </c>
      <c r="P777" s="59">
        <f>M777+270</f>
        <v>42441</v>
      </c>
      <c r="Q777" s="51"/>
      <c r="R777" s="51">
        <f t="shared" si="31"/>
        <v>495016.25</v>
      </c>
      <c r="S777" s="51" t="s">
        <v>180</v>
      </c>
      <c r="T777" s="51" t="s">
        <v>52</v>
      </c>
      <c r="U777" s="69">
        <v>311302.06</v>
      </c>
      <c r="V777" s="51"/>
      <c r="W777" s="51">
        <v>23430.61</v>
      </c>
      <c r="X777" s="51">
        <v>311302.06</v>
      </c>
      <c r="Y777" s="70" t="s">
        <v>175</v>
      </c>
      <c r="Z777" s="70"/>
      <c r="AA777" s="28"/>
      <c r="AB777" s="56"/>
      <c r="AC777" s="28"/>
      <c r="AD777" s="28"/>
      <c r="AE777" s="54"/>
      <c r="AF777" s="54"/>
      <c r="AG777" s="54"/>
      <c r="AH777" s="53"/>
      <c r="AI777" s="53" t="s">
        <v>1591</v>
      </c>
      <c r="AJ777" s="53" t="s">
        <v>1591</v>
      </c>
    </row>
    <row r="778" spans="1:36" s="3" customFormat="1" ht="72" x14ac:dyDescent="0.25">
      <c r="A778" s="17" t="s">
        <v>1147</v>
      </c>
      <c r="B778" s="18" t="s">
        <v>37</v>
      </c>
      <c r="C778" s="19" t="s">
        <v>1008</v>
      </c>
      <c r="D778" s="45" t="s">
        <v>3500</v>
      </c>
      <c r="E778" s="50" t="s">
        <v>180</v>
      </c>
      <c r="F778" s="58" t="s">
        <v>180</v>
      </c>
      <c r="G778" s="51"/>
      <c r="H778" s="51"/>
      <c r="I778" s="50" t="s">
        <v>134</v>
      </c>
      <c r="J778" s="58" t="s">
        <v>3804</v>
      </c>
      <c r="K778" s="52" t="s">
        <v>3805</v>
      </c>
      <c r="L778" s="59">
        <v>41901</v>
      </c>
      <c r="M778" s="60">
        <f>L778+270</f>
        <v>42171</v>
      </c>
      <c r="N778" s="51">
        <v>495016.25</v>
      </c>
      <c r="O778" s="59" t="s">
        <v>1319</v>
      </c>
      <c r="P778" s="59">
        <f>M778+270</f>
        <v>42441</v>
      </c>
      <c r="Q778" s="51"/>
      <c r="R778" s="51">
        <f t="shared" si="31"/>
        <v>495016.25</v>
      </c>
      <c r="S778" s="51" t="s">
        <v>180</v>
      </c>
      <c r="T778" s="51" t="s">
        <v>52</v>
      </c>
      <c r="U778" s="69">
        <v>259330.2</v>
      </c>
      <c r="V778" s="51"/>
      <c r="W778" s="51"/>
      <c r="X778" s="51">
        <v>259330.2</v>
      </c>
      <c r="Y778" s="70" t="s">
        <v>1319</v>
      </c>
      <c r="Z778" s="70"/>
      <c r="AA778" s="28"/>
      <c r="AB778" s="56"/>
      <c r="AC778" s="28"/>
      <c r="AD778" s="28"/>
      <c r="AE778" s="54"/>
      <c r="AF778" s="54"/>
      <c r="AG778" s="54"/>
      <c r="AH778" s="53"/>
      <c r="AI778" s="53" t="s">
        <v>1591</v>
      </c>
      <c r="AJ778" s="53" t="s">
        <v>1591</v>
      </c>
    </row>
    <row r="779" spans="1:36" s="3" customFormat="1" ht="96" x14ac:dyDescent="0.25">
      <c r="A779" s="17" t="s">
        <v>1147</v>
      </c>
      <c r="B779" s="18" t="s">
        <v>37</v>
      </c>
      <c r="C779" s="19" t="s">
        <v>1510</v>
      </c>
      <c r="D779" s="45" t="s">
        <v>3504</v>
      </c>
      <c r="E779" s="50" t="s">
        <v>46</v>
      </c>
      <c r="F779" s="58" t="s">
        <v>46</v>
      </c>
      <c r="G779" s="51" t="s">
        <v>46</v>
      </c>
      <c r="H779" s="51" t="s">
        <v>46</v>
      </c>
      <c r="I779" s="50" t="s">
        <v>153</v>
      </c>
      <c r="J779" s="58" t="s">
        <v>1149</v>
      </c>
      <c r="K779" s="52" t="s">
        <v>241</v>
      </c>
      <c r="L779" s="59">
        <v>42514</v>
      </c>
      <c r="M779" s="60">
        <f>L779+180</f>
        <v>42694</v>
      </c>
      <c r="N779" s="51">
        <v>270524.61</v>
      </c>
      <c r="O779" s="59" t="s">
        <v>175</v>
      </c>
      <c r="P779" s="59">
        <v>0</v>
      </c>
      <c r="Q779" s="51"/>
      <c r="R779" s="51">
        <f t="shared" si="31"/>
        <v>270524.61</v>
      </c>
      <c r="S779" s="51" t="s">
        <v>46</v>
      </c>
      <c r="T779" s="52" t="s">
        <v>52</v>
      </c>
      <c r="U779" s="51">
        <v>142788.18</v>
      </c>
      <c r="V779" s="51"/>
      <c r="W779" s="51"/>
      <c r="X779" s="51">
        <v>142788.18</v>
      </c>
      <c r="Y779" s="19" t="s">
        <v>175</v>
      </c>
      <c r="Z779" s="19"/>
      <c r="AA779" s="28"/>
      <c r="AB779" s="56"/>
      <c r="AC779" s="28"/>
      <c r="AD779" s="28"/>
      <c r="AE779" s="54"/>
      <c r="AF779" s="54"/>
      <c r="AG779" s="54"/>
      <c r="AH779" s="53"/>
      <c r="AI779" s="53" t="s">
        <v>1591</v>
      </c>
      <c r="AJ779" s="53" t="s">
        <v>1591</v>
      </c>
    </row>
    <row r="780" spans="1:36" s="3" customFormat="1" ht="72" x14ac:dyDescent="0.25">
      <c r="A780" s="17" t="s">
        <v>1147</v>
      </c>
      <c r="B780" s="18" t="s">
        <v>37</v>
      </c>
      <c r="C780" s="19" t="s">
        <v>1005</v>
      </c>
      <c r="D780" s="45" t="s">
        <v>3503</v>
      </c>
      <c r="E780" s="50"/>
      <c r="F780" s="58"/>
      <c r="G780" s="51"/>
      <c r="H780" s="51"/>
      <c r="I780" s="50" t="s">
        <v>153</v>
      </c>
      <c r="J780" s="58" t="s">
        <v>1149</v>
      </c>
      <c r="K780" s="52" t="s">
        <v>1248</v>
      </c>
      <c r="L780" s="59"/>
      <c r="M780" s="60">
        <f>L780+180</f>
        <v>180</v>
      </c>
      <c r="N780" s="51">
        <v>265704.78000000003</v>
      </c>
      <c r="O780" s="59" t="s">
        <v>175</v>
      </c>
      <c r="P780" s="59">
        <v>0</v>
      </c>
      <c r="Q780" s="51"/>
      <c r="R780" s="51">
        <f t="shared" si="31"/>
        <v>265704.78000000003</v>
      </c>
      <c r="S780" s="51"/>
      <c r="T780" s="52" t="s">
        <v>52</v>
      </c>
      <c r="U780" s="51">
        <v>202917.35</v>
      </c>
      <c r="V780" s="51"/>
      <c r="W780" s="51"/>
      <c r="X780" s="51">
        <v>202917.35</v>
      </c>
      <c r="Y780" s="19" t="s">
        <v>175</v>
      </c>
      <c r="Z780" s="19"/>
      <c r="AA780" s="28"/>
      <c r="AB780" s="56"/>
      <c r="AC780" s="28"/>
      <c r="AD780" s="28"/>
      <c r="AE780" s="54"/>
      <c r="AF780" s="54"/>
      <c r="AG780" s="54"/>
      <c r="AH780" s="53"/>
      <c r="AI780" s="53" t="s">
        <v>1591</v>
      </c>
      <c r="AJ780" s="53" t="s">
        <v>1591</v>
      </c>
    </row>
    <row r="781" spans="1:36" s="3" customFormat="1" ht="36" x14ac:dyDescent="0.25">
      <c r="A781" s="17" t="s">
        <v>1147</v>
      </c>
      <c r="B781" s="18" t="s">
        <v>37</v>
      </c>
      <c r="C781" s="19" t="s">
        <v>3502</v>
      </c>
      <c r="D781" s="45" t="s">
        <v>1151</v>
      </c>
      <c r="E781" s="50" t="s">
        <v>46</v>
      </c>
      <c r="F781" s="58" t="s">
        <v>46</v>
      </c>
      <c r="G781" s="51" t="s">
        <v>46</v>
      </c>
      <c r="H781" s="51" t="s">
        <v>46</v>
      </c>
      <c r="I781" s="50" t="s">
        <v>153</v>
      </c>
      <c r="J781" s="58" t="s">
        <v>1149</v>
      </c>
      <c r="K781" s="52" t="s">
        <v>917</v>
      </c>
      <c r="L781" s="59">
        <v>42683</v>
      </c>
      <c r="M781" s="60">
        <f>L781+60</f>
        <v>42743</v>
      </c>
      <c r="N781" s="51">
        <v>185099.94</v>
      </c>
      <c r="O781" s="59" t="s">
        <v>175</v>
      </c>
      <c r="P781" s="59">
        <v>0</v>
      </c>
      <c r="Q781" s="51"/>
      <c r="R781" s="51">
        <f t="shared" si="31"/>
        <v>185099.94</v>
      </c>
      <c r="S781" s="51" t="s">
        <v>46</v>
      </c>
      <c r="T781" s="51" t="s">
        <v>81</v>
      </c>
      <c r="U781" s="52">
        <v>132515.32</v>
      </c>
      <c r="V781" s="51"/>
      <c r="W781" s="51"/>
      <c r="X781" s="51">
        <v>132515.32</v>
      </c>
      <c r="Y781" s="70" t="s">
        <v>175</v>
      </c>
      <c r="Z781" s="70"/>
      <c r="AA781" s="28"/>
      <c r="AB781" s="56"/>
      <c r="AC781" s="28"/>
      <c r="AD781" s="28"/>
      <c r="AE781" s="54"/>
      <c r="AF781" s="54"/>
      <c r="AG781" s="54"/>
      <c r="AH781" s="53"/>
      <c r="AI781" s="53" t="s">
        <v>1591</v>
      </c>
      <c r="AJ781" s="53" t="s">
        <v>1591</v>
      </c>
    </row>
    <row r="782" spans="1:36" s="3" customFormat="1" ht="48" x14ac:dyDescent="0.25">
      <c r="A782" s="17" t="s">
        <v>1147</v>
      </c>
      <c r="B782" s="18" t="s">
        <v>37</v>
      </c>
      <c r="C782" s="19"/>
      <c r="D782" s="45" t="s">
        <v>3506</v>
      </c>
      <c r="E782" s="50"/>
      <c r="F782" s="58"/>
      <c r="G782" s="51"/>
      <c r="H782" s="51"/>
      <c r="I782" s="50" t="s">
        <v>153</v>
      </c>
      <c r="J782" s="58" t="s">
        <v>848</v>
      </c>
      <c r="K782" s="52"/>
      <c r="L782" s="59"/>
      <c r="M782" s="60"/>
      <c r="N782" s="51"/>
      <c r="O782" s="59">
        <v>42893</v>
      </c>
      <c r="P782" s="59">
        <v>0</v>
      </c>
      <c r="Q782" s="51"/>
      <c r="R782" s="51">
        <f t="shared" ref="R782" si="32">N782+Q782</f>
        <v>0</v>
      </c>
      <c r="S782" s="51"/>
      <c r="T782" s="52" t="s">
        <v>52</v>
      </c>
      <c r="U782" s="51"/>
      <c r="V782" s="51">
        <v>25938.36</v>
      </c>
      <c r="W782" s="51">
        <v>25938.36</v>
      </c>
      <c r="X782" s="51">
        <v>25938.36</v>
      </c>
      <c r="Y782" s="19" t="s">
        <v>149</v>
      </c>
      <c r="Z782" s="19" t="s">
        <v>4307</v>
      </c>
      <c r="AA782" s="28"/>
      <c r="AB782" s="56"/>
      <c r="AC782" s="28"/>
      <c r="AD782" s="28"/>
      <c r="AE782" s="54"/>
      <c r="AF782" s="54"/>
      <c r="AG782" s="54"/>
      <c r="AH782" s="53"/>
      <c r="AI782" s="53" t="s">
        <v>1591</v>
      </c>
      <c r="AJ782" s="53" t="s">
        <v>1591</v>
      </c>
    </row>
    <row r="783" spans="1:36" s="3" customFormat="1" ht="36" x14ac:dyDescent="0.25">
      <c r="A783" s="17" t="s">
        <v>1147</v>
      </c>
      <c r="B783" s="18" t="s">
        <v>37</v>
      </c>
      <c r="C783" s="19"/>
      <c r="D783" s="45" t="s">
        <v>3505</v>
      </c>
      <c r="E783" s="50"/>
      <c r="F783" s="58"/>
      <c r="G783" s="51"/>
      <c r="H783" s="51"/>
      <c r="I783" s="50" t="s">
        <v>153</v>
      </c>
      <c r="J783" s="58" t="s">
        <v>848</v>
      </c>
      <c r="K783" s="52"/>
      <c r="L783" s="59"/>
      <c r="M783" s="60"/>
      <c r="N783" s="51"/>
      <c r="O783" s="59">
        <v>42893</v>
      </c>
      <c r="P783" s="59">
        <v>0</v>
      </c>
      <c r="Q783" s="51"/>
      <c r="R783" s="51">
        <f t="shared" ref="R783:R788" si="33">N783+Q783</f>
        <v>0</v>
      </c>
      <c r="S783" s="51"/>
      <c r="T783" s="52" t="s">
        <v>52</v>
      </c>
      <c r="U783" s="51"/>
      <c r="V783" s="51">
        <v>25419.59</v>
      </c>
      <c r="W783" s="51">
        <v>25419.59</v>
      </c>
      <c r="X783" s="51">
        <v>25419.59</v>
      </c>
      <c r="Y783" s="19" t="s">
        <v>149</v>
      </c>
      <c r="Z783" s="19" t="s">
        <v>4307</v>
      </c>
      <c r="AA783" s="28"/>
      <c r="AB783" s="56"/>
      <c r="AC783" s="28"/>
      <c r="AD783" s="28"/>
      <c r="AE783" s="54"/>
      <c r="AF783" s="54"/>
      <c r="AG783" s="54"/>
      <c r="AH783" s="53"/>
      <c r="AI783" s="53" t="s">
        <v>1591</v>
      </c>
      <c r="AJ783" s="53" t="s">
        <v>1591</v>
      </c>
    </row>
    <row r="784" spans="1:36" s="3" customFormat="1" ht="72" x14ac:dyDescent="0.25">
      <c r="A784" s="17" t="s">
        <v>1152</v>
      </c>
      <c r="B784" s="18" t="s">
        <v>37</v>
      </c>
      <c r="C784" s="19" t="s">
        <v>978</v>
      </c>
      <c r="D784" s="45" t="s">
        <v>1153</v>
      </c>
      <c r="E784" s="50" t="s">
        <v>1154</v>
      </c>
      <c r="F784" s="58" t="s">
        <v>1155</v>
      </c>
      <c r="G784" s="51"/>
      <c r="H784" s="51"/>
      <c r="I784" s="50" t="s">
        <v>1156</v>
      </c>
      <c r="J784" s="58" t="s">
        <v>1157</v>
      </c>
      <c r="K784" s="52" t="s">
        <v>1154</v>
      </c>
      <c r="L784" s="59">
        <v>40815</v>
      </c>
      <c r="M784" s="60">
        <f>L784+180</f>
        <v>40995</v>
      </c>
      <c r="N784" s="51">
        <v>1049001.3</v>
      </c>
      <c r="O784" s="59">
        <v>41089</v>
      </c>
      <c r="P784" s="59">
        <v>0</v>
      </c>
      <c r="Q784" s="51">
        <v>241195.32</v>
      </c>
      <c r="R784" s="51">
        <f t="shared" si="33"/>
        <v>1290196.6200000001</v>
      </c>
      <c r="S784" s="51"/>
      <c r="T784" s="52" t="s">
        <v>907</v>
      </c>
      <c r="U784" s="51"/>
      <c r="V784" s="51"/>
      <c r="W784" s="51"/>
      <c r="X784" s="51"/>
      <c r="Y784" s="19" t="s">
        <v>1158</v>
      </c>
      <c r="Z784" s="19"/>
      <c r="AA784" s="28" t="s">
        <v>7674</v>
      </c>
      <c r="AB784" s="56">
        <v>43424</v>
      </c>
      <c r="AC784" s="28" t="s">
        <v>7675</v>
      </c>
      <c r="AD784" s="28" t="s">
        <v>7676</v>
      </c>
      <c r="AE784" s="54" t="s">
        <v>7677</v>
      </c>
      <c r="AF784" s="54"/>
      <c r="AG784" s="54" t="s">
        <v>7678</v>
      </c>
      <c r="AH784" s="53" t="s">
        <v>1591</v>
      </c>
      <c r="AI784" s="53" t="s">
        <v>2686</v>
      </c>
      <c r="AJ784" s="53" t="s">
        <v>1591</v>
      </c>
    </row>
    <row r="785" spans="1:36" s="3" customFormat="1" ht="48" x14ac:dyDescent="0.25">
      <c r="A785" s="17" t="s">
        <v>1152</v>
      </c>
      <c r="B785" s="18" t="s">
        <v>37</v>
      </c>
      <c r="C785" s="19" t="s">
        <v>69</v>
      </c>
      <c r="D785" s="45" t="s">
        <v>1167</v>
      </c>
      <c r="E785" s="50" t="s">
        <v>1012</v>
      </c>
      <c r="F785" s="58" t="s">
        <v>1168</v>
      </c>
      <c r="G785" s="51"/>
      <c r="H785" s="51"/>
      <c r="I785" s="50" t="s">
        <v>2807</v>
      </c>
      <c r="J785" s="58" t="s">
        <v>2808</v>
      </c>
      <c r="K785" s="52" t="s">
        <v>1144</v>
      </c>
      <c r="L785" s="59">
        <v>41800</v>
      </c>
      <c r="M785" s="60">
        <f>L785+180</f>
        <v>41980</v>
      </c>
      <c r="N785" s="51">
        <v>580612.1</v>
      </c>
      <c r="O785" s="59">
        <v>42348</v>
      </c>
      <c r="P785" s="59">
        <v>0</v>
      </c>
      <c r="Q785" s="51"/>
      <c r="R785" s="51">
        <f t="shared" si="33"/>
        <v>580612.1</v>
      </c>
      <c r="S785" s="51"/>
      <c r="T785" s="52" t="s">
        <v>1052</v>
      </c>
      <c r="U785" s="51"/>
      <c r="V785" s="51"/>
      <c r="W785" s="51"/>
      <c r="X785" s="51">
        <v>87307.88</v>
      </c>
      <c r="Y785" s="19" t="s">
        <v>1158</v>
      </c>
      <c r="Z785" s="19"/>
      <c r="AA785" s="28" t="s">
        <v>7674</v>
      </c>
      <c r="AB785" s="56">
        <v>43424</v>
      </c>
      <c r="AC785" s="28" t="s">
        <v>7675</v>
      </c>
      <c r="AD785" s="28" t="s">
        <v>7676</v>
      </c>
      <c r="AE785" s="54" t="s">
        <v>7679</v>
      </c>
      <c r="AF785" s="54"/>
      <c r="AG785" s="54" t="s">
        <v>7680</v>
      </c>
      <c r="AH785" s="53" t="s">
        <v>1591</v>
      </c>
      <c r="AI785" s="53" t="s">
        <v>2686</v>
      </c>
      <c r="AJ785" s="53" t="s">
        <v>1591</v>
      </c>
    </row>
    <row r="786" spans="1:36" s="3" customFormat="1" ht="72" x14ac:dyDescent="0.25">
      <c r="A786" s="17" t="s">
        <v>1152</v>
      </c>
      <c r="B786" s="18" t="s">
        <v>37</v>
      </c>
      <c r="C786" s="19" t="s">
        <v>1159</v>
      </c>
      <c r="D786" s="45" t="s">
        <v>3507</v>
      </c>
      <c r="E786" s="50" t="s">
        <v>1160</v>
      </c>
      <c r="F786" s="58" t="s">
        <v>1155</v>
      </c>
      <c r="G786" s="51"/>
      <c r="H786" s="51"/>
      <c r="I786" s="50" t="s">
        <v>1156</v>
      </c>
      <c r="J786" s="58" t="s">
        <v>1157</v>
      </c>
      <c r="K786" s="52" t="s">
        <v>924</v>
      </c>
      <c r="L786" s="59">
        <v>41693</v>
      </c>
      <c r="M786" s="60">
        <f>L786+90</f>
        <v>41783</v>
      </c>
      <c r="N786" s="51">
        <v>288126.46000000002</v>
      </c>
      <c r="O786" s="59">
        <v>41782</v>
      </c>
      <c r="P786" s="59">
        <v>0</v>
      </c>
      <c r="Q786" s="51"/>
      <c r="R786" s="51">
        <f t="shared" si="33"/>
        <v>288126.46000000002</v>
      </c>
      <c r="S786" s="51"/>
      <c r="T786" s="52" t="s">
        <v>907</v>
      </c>
      <c r="U786" s="51"/>
      <c r="V786" s="51"/>
      <c r="W786" s="51"/>
      <c r="X786" s="51"/>
      <c r="Y786" s="19" t="s">
        <v>1158</v>
      </c>
      <c r="Z786" s="19"/>
      <c r="AA786" s="28" t="s">
        <v>7674</v>
      </c>
      <c r="AB786" s="56">
        <v>43424</v>
      </c>
      <c r="AC786" s="28" t="s">
        <v>7675</v>
      </c>
      <c r="AD786" s="28" t="s">
        <v>7676</v>
      </c>
      <c r="AE786" s="54" t="s">
        <v>7677</v>
      </c>
      <c r="AF786" s="54"/>
      <c r="AG786" s="54" t="s">
        <v>7678</v>
      </c>
      <c r="AH786" s="53" t="s">
        <v>1591</v>
      </c>
      <c r="AI786" s="53" t="s">
        <v>2686</v>
      </c>
      <c r="AJ786" s="53" t="s">
        <v>1591</v>
      </c>
    </row>
    <row r="787" spans="1:36" s="3" customFormat="1" ht="72" x14ac:dyDescent="0.25">
      <c r="A787" s="17" t="s">
        <v>1152</v>
      </c>
      <c r="B787" s="18" t="s">
        <v>37</v>
      </c>
      <c r="C787" s="19" t="s">
        <v>828</v>
      </c>
      <c r="D787" s="45" t="s">
        <v>1166</v>
      </c>
      <c r="E787" s="50" t="s">
        <v>1142</v>
      </c>
      <c r="F787" s="58" t="s">
        <v>955</v>
      </c>
      <c r="G787" s="51"/>
      <c r="H787" s="51"/>
      <c r="I787" s="50" t="s">
        <v>159</v>
      </c>
      <c r="J787" s="58" t="s">
        <v>1161</v>
      </c>
      <c r="K787" s="52" t="s">
        <v>1001</v>
      </c>
      <c r="L787" s="59">
        <v>41922</v>
      </c>
      <c r="M787" s="60">
        <f>L787+150</f>
        <v>42072</v>
      </c>
      <c r="N787" s="51">
        <v>281677.55</v>
      </c>
      <c r="O787" s="59">
        <v>42073</v>
      </c>
      <c r="P787" s="59">
        <f>M787+450</f>
        <v>42522</v>
      </c>
      <c r="Q787" s="51"/>
      <c r="R787" s="51">
        <f t="shared" si="33"/>
        <v>281677.55</v>
      </c>
      <c r="S787" s="51"/>
      <c r="T787" s="52" t="s">
        <v>907</v>
      </c>
      <c r="U787" s="51">
        <v>38663.949999999997</v>
      </c>
      <c r="V787" s="51">
        <v>38663.949999999997</v>
      </c>
      <c r="W787" s="51">
        <v>38663.949999999997</v>
      </c>
      <c r="X787" s="51">
        <v>168643.34</v>
      </c>
      <c r="Y787" s="19" t="s">
        <v>42</v>
      </c>
      <c r="Z787" s="19"/>
      <c r="AA787" s="28" t="s">
        <v>7674</v>
      </c>
      <c r="AB787" s="56">
        <v>43424</v>
      </c>
      <c r="AC787" s="28" t="s">
        <v>7675</v>
      </c>
      <c r="AD787" s="28" t="s">
        <v>7676</v>
      </c>
      <c r="AE787" s="54" t="s">
        <v>7681</v>
      </c>
      <c r="AF787" s="54"/>
      <c r="AG787" s="54" t="s">
        <v>7680</v>
      </c>
      <c r="AH787" s="53" t="s">
        <v>1591</v>
      </c>
      <c r="AI787" s="53" t="s">
        <v>2686</v>
      </c>
      <c r="AJ787" s="53" t="s">
        <v>1591</v>
      </c>
    </row>
    <row r="788" spans="1:36" s="3" customFormat="1" ht="84" x14ac:dyDescent="0.25">
      <c r="A788" s="17" t="s">
        <v>1152</v>
      </c>
      <c r="B788" s="18" t="s">
        <v>37</v>
      </c>
      <c r="C788" s="19" t="s">
        <v>1171</v>
      </c>
      <c r="D788" s="45" t="s">
        <v>3508</v>
      </c>
      <c r="E788" s="50" t="s">
        <v>1124</v>
      </c>
      <c r="F788" s="58" t="s">
        <v>1169</v>
      </c>
      <c r="G788" s="51"/>
      <c r="H788" s="51"/>
      <c r="I788" s="50" t="s">
        <v>1172</v>
      </c>
      <c r="J788" s="58" t="s">
        <v>1173</v>
      </c>
      <c r="K788" s="52" t="s">
        <v>1124</v>
      </c>
      <c r="L788" s="59">
        <v>42705</v>
      </c>
      <c r="M788" s="60">
        <f>L788+60</f>
        <v>42765</v>
      </c>
      <c r="N788" s="51">
        <v>141471.24</v>
      </c>
      <c r="O788" s="59"/>
      <c r="P788" s="59">
        <v>0</v>
      </c>
      <c r="Q788" s="51"/>
      <c r="R788" s="51">
        <f t="shared" si="33"/>
        <v>141471.24</v>
      </c>
      <c r="S788" s="51"/>
      <c r="T788" s="52" t="s">
        <v>907</v>
      </c>
      <c r="U788" s="51"/>
      <c r="V788" s="51"/>
      <c r="W788" s="51"/>
      <c r="X788" s="51">
        <v>42088.53</v>
      </c>
      <c r="Y788" s="19" t="s">
        <v>714</v>
      </c>
      <c r="Z788" s="19"/>
      <c r="AA788" s="28" t="s">
        <v>7674</v>
      </c>
      <c r="AB788" s="56">
        <v>43424</v>
      </c>
      <c r="AC788" s="28" t="s">
        <v>7675</v>
      </c>
      <c r="AD788" s="28" t="s">
        <v>7676</v>
      </c>
      <c r="AE788" s="54" t="s">
        <v>7677</v>
      </c>
      <c r="AF788" s="54"/>
      <c r="AG788" s="54" t="s">
        <v>7682</v>
      </c>
      <c r="AH788" s="53" t="s">
        <v>1591</v>
      </c>
      <c r="AI788" s="53" t="s">
        <v>2686</v>
      </c>
      <c r="AJ788" s="53" t="s">
        <v>1591</v>
      </c>
    </row>
    <row r="789" spans="1:36" s="3" customFormat="1" ht="36" x14ac:dyDescent="0.25">
      <c r="A789" s="35" t="s">
        <v>2806</v>
      </c>
      <c r="B789" s="18" t="s">
        <v>37</v>
      </c>
      <c r="C789" s="76"/>
      <c r="D789" s="43" t="s">
        <v>5005</v>
      </c>
      <c r="E789" s="78"/>
      <c r="F789" s="36" t="s">
        <v>5006</v>
      </c>
      <c r="G789" s="80"/>
      <c r="H789" s="80"/>
      <c r="I789" s="36" t="s">
        <v>5007</v>
      </c>
      <c r="J789" s="34" t="s">
        <v>1161</v>
      </c>
      <c r="K789" s="37" t="s">
        <v>1303</v>
      </c>
      <c r="L789" s="38">
        <v>41612</v>
      </c>
      <c r="M789" s="39">
        <v>41702</v>
      </c>
      <c r="N789" s="42">
        <v>76560.320000000007</v>
      </c>
      <c r="O789" s="85" t="s">
        <v>5008</v>
      </c>
      <c r="P789" s="86">
        <v>41972</v>
      </c>
      <c r="Q789" s="41"/>
      <c r="R789" s="41">
        <v>76560.320000000007</v>
      </c>
      <c r="S789" s="80"/>
      <c r="T789" s="81"/>
      <c r="U789" s="80"/>
      <c r="V789" s="80"/>
      <c r="W789" s="42"/>
      <c r="X789" s="42">
        <v>57821.53</v>
      </c>
      <c r="Y789" s="34" t="s">
        <v>4321</v>
      </c>
      <c r="Z789" s="19" t="s">
        <v>7038</v>
      </c>
      <c r="AA789" s="28" t="s">
        <v>7674</v>
      </c>
      <c r="AB789" s="56">
        <v>43424</v>
      </c>
      <c r="AC789" s="28" t="s">
        <v>7675</v>
      </c>
      <c r="AD789" s="28" t="s">
        <v>7676</v>
      </c>
      <c r="AE789" s="54" t="s">
        <v>7683</v>
      </c>
      <c r="AF789" s="54"/>
      <c r="AG789" s="54" t="s">
        <v>7680</v>
      </c>
      <c r="AH789" s="53" t="s">
        <v>1591</v>
      </c>
      <c r="AI789" s="53" t="s">
        <v>2686</v>
      </c>
      <c r="AJ789" s="53" t="s">
        <v>1591</v>
      </c>
    </row>
    <row r="790" spans="1:36" s="3" customFormat="1" ht="96" x14ac:dyDescent="0.25">
      <c r="A790" s="17" t="s">
        <v>1175</v>
      </c>
      <c r="B790" s="18" t="s">
        <v>37</v>
      </c>
      <c r="C790" s="19" t="s">
        <v>3510</v>
      </c>
      <c r="D790" s="45" t="s">
        <v>3511</v>
      </c>
      <c r="E790" s="50" t="s">
        <v>1179</v>
      </c>
      <c r="F790" s="58" t="s">
        <v>3807</v>
      </c>
      <c r="G790" s="72">
        <v>9088139.8300000001</v>
      </c>
      <c r="H790" s="51"/>
      <c r="I790" s="50" t="s">
        <v>1180</v>
      </c>
      <c r="J790" s="58" t="s">
        <v>1181</v>
      </c>
      <c r="K790" s="52" t="s">
        <v>1182</v>
      </c>
      <c r="L790" s="59">
        <v>41089</v>
      </c>
      <c r="M790" s="60">
        <f>L790+12*30</f>
        <v>41449</v>
      </c>
      <c r="N790" s="51">
        <v>9088000</v>
      </c>
      <c r="O790" s="59">
        <v>41089</v>
      </c>
      <c r="P790" s="59"/>
      <c r="Q790" s="51"/>
      <c r="R790" s="51">
        <f>N790+Q790</f>
        <v>9088000</v>
      </c>
      <c r="S790" s="51"/>
      <c r="T790" s="52" t="s">
        <v>52</v>
      </c>
      <c r="U790" s="51">
        <v>3143011.04</v>
      </c>
      <c r="V790" s="51">
        <v>90263.15</v>
      </c>
      <c r="W790" s="51">
        <v>90263.15</v>
      </c>
      <c r="X790" s="51">
        <v>3143011.04</v>
      </c>
      <c r="Y790" s="19" t="s">
        <v>575</v>
      </c>
      <c r="Z790" s="19"/>
      <c r="AA790" s="28" t="s">
        <v>7684</v>
      </c>
      <c r="AB790" s="56">
        <v>43425</v>
      </c>
      <c r="AC790" s="28" t="s">
        <v>7685</v>
      </c>
      <c r="AD790" s="28" t="s">
        <v>7686</v>
      </c>
      <c r="AE790" s="54" t="s">
        <v>7687</v>
      </c>
      <c r="AF790" s="54"/>
      <c r="AG790" s="54" t="s">
        <v>8550</v>
      </c>
      <c r="AH790" s="53" t="s">
        <v>1591</v>
      </c>
      <c r="AI790" s="53" t="s">
        <v>2686</v>
      </c>
      <c r="AJ790" s="53" t="s">
        <v>1591</v>
      </c>
    </row>
    <row r="791" spans="1:36" s="3" customFormat="1" ht="84" x14ac:dyDescent="0.25">
      <c r="A791" s="17" t="s">
        <v>1175</v>
      </c>
      <c r="B791" s="18" t="s">
        <v>37</v>
      </c>
      <c r="C791" s="19" t="s">
        <v>1177</v>
      </c>
      <c r="D791" s="45" t="s">
        <v>3509</v>
      </c>
      <c r="E791" s="50" t="s">
        <v>3806</v>
      </c>
      <c r="F791" s="58" t="s">
        <v>3807</v>
      </c>
      <c r="G791" s="72">
        <f>1000000+150+200000</f>
        <v>1200150</v>
      </c>
      <c r="H791" s="51">
        <v>32505.16</v>
      </c>
      <c r="I791" s="50" t="s">
        <v>544</v>
      </c>
      <c r="J791" s="58" t="s">
        <v>3808</v>
      </c>
      <c r="K791" s="52" t="s">
        <v>1178</v>
      </c>
      <c r="L791" s="59">
        <v>40815</v>
      </c>
      <c r="M791" s="60" t="s">
        <v>303</v>
      </c>
      <c r="N791" s="51">
        <v>1373581.6</v>
      </c>
      <c r="O791" s="59">
        <v>40998</v>
      </c>
      <c r="P791" s="59"/>
      <c r="Q791" s="51"/>
      <c r="R791" s="51">
        <f>N791+Q791</f>
        <v>1373581.6</v>
      </c>
      <c r="S791" s="51"/>
      <c r="T791" s="52" t="s">
        <v>52</v>
      </c>
      <c r="U791" s="51">
        <v>1056033.49</v>
      </c>
      <c r="V791" s="51">
        <v>59073.01</v>
      </c>
      <c r="W791" s="51">
        <v>146088.84</v>
      </c>
      <c r="X791" s="51">
        <v>1056033.49</v>
      </c>
      <c r="Y791" s="19" t="s">
        <v>575</v>
      </c>
      <c r="Z791" s="19"/>
      <c r="AA791" s="28" t="s">
        <v>7684</v>
      </c>
      <c r="AB791" s="56">
        <v>43425</v>
      </c>
      <c r="AC791" s="28" t="s">
        <v>7685</v>
      </c>
      <c r="AD791" s="28" t="s">
        <v>7686</v>
      </c>
      <c r="AE791" s="54" t="s">
        <v>7687</v>
      </c>
      <c r="AF791" s="54"/>
      <c r="AG791" s="54" t="s">
        <v>7688</v>
      </c>
      <c r="AH791" s="53" t="s">
        <v>1591</v>
      </c>
      <c r="AI791" s="53" t="s">
        <v>2686</v>
      </c>
      <c r="AJ791" s="53" t="s">
        <v>1591</v>
      </c>
    </row>
    <row r="792" spans="1:36" s="3" customFormat="1" ht="48" x14ac:dyDescent="0.25">
      <c r="A792" s="17" t="s">
        <v>1175</v>
      </c>
      <c r="B792" s="18" t="s">
        <v>37</v>
      </c>
      <c r="C792" s="76" t="s">
        <v>5010</v>
      </c>
      <c r="D792" s="45" t="s">
        <v>5011</v>
      </c>
      <c r="E792" s="78" t="s">
        <v>5012</v>
      </c>
      <c r="F792" s="79" t="s">
        <v>43</v>
      </c>
      <c r="G792" s="80">
        <v>1185196.82</v>
      </c>
      <c r="H792" s="80">
        <v>11971.69</v>
      </c>
      <c r="I792" s="78" t="s">
        <v>994</v>
      </c>
      <c r="J792" s="79" t="s">
        <v>5013</v>
      </c>
      <c r="K792" s="81" t="s">
        <v>5014</v>
      </c>
      <c r="L792" s="82">
        <v>40379</v>
      </c>
      <c r="M792" s="83">
        <v>40619</v>
      </c>
      <c r="N792" s="80">
        <v>1137180.56</v>
      </c>
      <c r="O792" s="82">
        <v>40622</v>
      </c>
      <c r="P792" s="84" t="s">
        <v>1176</v>
      </c>
      <c r="Q792" s="80">
        <v>0</v>
      </c>
      <c r="R792" s="80">
        <v>1137180.56</v>
      </c>
      <c r="S792" s="80"/>
      <c r="T792" s="81">
        <v>449051</v>
      </c>
      <c r="U792" s="80">
        <v>985459.25</v>
      </c>
      <c r="V792" s="80"/>
      <c r="W792" s="80"/>
      <c r="X792" s="80">
        <v>985459.25</v>
      </c>
      <c r="Y792" s="76" t="s">
        <v>202</v>
      </c>
      <c r="Z792" s="19" t="s">
        <v>7038</v>
      </c>
      <c r="AA792" s="28" t="s">
        <v>7684</v>
      </c>
      <c r="AB792" s="56">
        <v>43425</v>
      </c>
      <c r="AC792" s="28" t="s">
        <v>7685</v>
      </c>
      <c r="AD792" s="28" t="s">
        <v>7686</v>
      </c>
      <c r="AE792" s="54" t="s">
        <v>7689</v>
      </c>
      <c r="AF792" s="54"/>
      <c r="AG792" s="54" t="s">
        <v>7690</v>
      </c>
      <c r="AH792" s="53" t="s">
        <v>1591</v>
      </c>
      <c r="AI792" s="53" t="s">
        <v>2686</v>
      </c>
      <c r="AJ792" s="53" t="s">
        <v>1591</v>
      </c>
    </row>
    <row r="793" spans="1:36" s="3" customFormat="1" ht="48" x14ac:dyDescent="0.25">
      <c r="A793" s="17" t="s">
        <v>1175</v>
      </c>
      <c r="B793" s="18" t="s">
        <v>37</v>
      </c>
      <c r="C793" s="19" t="s">
        <v>2980</v>
      </c>
      <c r="D793" s="45" t="s">
        <v>3512</v>
      </c>
      <c r="E793" s="50"/>
      <c r="F793" s="58"/>
      <c r="G793" s="51"/>
      <c r="H793" s="51"/>
      <c r="I793" s="50" t="s">
        <v>3195</v>
      </c>
      <c r="J793" s="58" t="s">
        <v>3809</v>
      </c>
      <c r="K793" s="52" t="s">
        <v>3257</v>
      </c>
      <c r="L793" s="59">
        <v>42871</v>
      </c>
      <c r="M793" s="60" t="s">
        <v>250</v>
      </c>
      <c r="N793" s="51">
        <v>1073220.2</v>
      </c>
      <c r="O793" s="59">
        <v>43116</v>
      </c>
      <c r="P793" s="59" t="s">
        <v>1176</v>
      </c>
      <c r="Q793" s="51"/>
      <c r="R793" s="51">
        <f>N793+Q793</f>
        <v>1073220.2</v>
      </c>
      <c r="S793" s="51"/>
      <c r="T793" s="52" t="s">
        <v>52</v>
      </c>
      <c r="U793" s="51">
        <v>58849.59</v>
      </c>
      <c r="V793" s="51">
        <v>58849.59</v>
      </c>
      <c r="W793" s="51">
        <v>58849.59</v>
      </c>
      <c r="X793" s="51">
        <v>58849.59</v>
      </c>
      <c r="Y793" s="19" t="s">
        <v>186</v>
      </c>
      <c r="Z793" s="19"/>
      <c r="AA793" s="28" t="s">
        <v>7684</v>
      </c>
      <c r="AB793" s="56">
        <v>43425</v>
      </c>
      <c r="AC793" s="28" t="s">
        <v>7685</v>
      </c>
      <c r="AD793" s="28" t="s">
        <v>7686</v>
      </c>
      <c r="AE793" s="54" t="s">
        <v>7691</v>
      </c>
      <c r="AF793" s="54"/>
      <c r="AG793" s="54" t="s">
        <v>7692</v>
      </c>
      <c r="AH793" s="53" t="s">
        <v>1591</v>
      </c>
      <c r="AI793" s="53" t="s">
        <v>2686</v>
      </c>
      <c r="AJ793" s="53" t="s">
        <v>1591</v>
      </c>
    </row>
    <row r="794" spans="1:36" s="3" customFormat="1" ht="48" x14ac:dyDescent="0.25">
      <c r="A794" s="17" t="s">
        <v>1175</v>
      </c>
      <c r="B794" s="18" t="s">
        <v>37</v>
      </c>
      <c r="C794" s="76" t="s">
        <v>4399</v>
      </c>
      <c r="D794" s="45" t="s">
        <v>5015</v>
      </c>
      <c r="E794" s="78"/>
      <c r="F794" s="79"/>
      <c r="G794" s="80"/>
      <c r="H794" s="80"/>
      <c r="I794" s="78" t="s">
        <v>5016</v>
      </c>
      <c r="J794" s="79" t="s">
        <v>5017</v>
      </c>
      <c r="K794" s="81" t="s">
        <v>370</v>
      </c>
      <c r="L794" s="82">
        <v>42334</v>
      </c>
      <c r="M794" s="83">
        <v>42574</v>
      </c>
      <c r="N794" s="80">
        <v>1006876.74</v>
      </c>
      <c r="O794" s="82">
        <v>42577</v>
      </c>
      <c r="P794" s="84"/>
      <c r="Q794" s="80">
        <v>0</v>
      </c>
      <c r="R794" s="80">
        <v>1006876.74</v>
      </c>
      <c r="S794" s="80"/>
      <c r="T794" s="81">
        <v>449051</v>
      </c>
      <c r="U794" s="80">
        <v>89374.18</v>
      </c>
      <c r="V794" s="80"/>
      <c r="W794" s="80"/>
      <c r="X794" s="80">
        <v>89374.18</v>
      </c>
      <c r="Y794" s="76" t="s">
        <v>202</v>
      </c>
      <c r="Z794" s="19" t="s">
        <v>7038</v>
      </c>
      <c r="AA794" s="28" t="s">
        <v>7684</v>
      </c>
      <c r="AB794" s="56">
        <v>43425</v>
      </c>
      <c r="AC794" s="28" t="s">
        <v>7685</v>
      </c>
      <c r="AD794" s="28" t="s">
        <v>7686</v>
      </c>
      <c r="AE794" s="54" t="s">
        <v>7693</v>
      </c>
      <c r="AF794" s="54"/>
      <c r="AG794" s="54" t="s">
        <v>7694</v>
      </c>
      <c r="AH794" s="53" t="s">
        <v>39</v>
      </c>
      <c r="AI794" s="53" t="s">
        <v>2686</v>
      </c>
      <c r="AJ794" s="53" t="s">
        <v>1591</v>
      </c>
    </row>
    <row r="795" spans="1:36" s="3" customFormat="1" ht="84" x14ac:dyDescent="0.25">
      <c r="A795" s="17" t="s">
        <v>1175</v>
      </c>
      <c r="B795" s="18" t="s">
        <v>37</v>
      </c>
      <c r="C795" s="76" t="s">
        <v>5018</v>
      </c>
      <c r="D795" s="45" t="s">
        <v>5019</v>
      </c>
      <c r="E795" s="78" t="s">
        <v>5020</v>
      </c>
      <c r="F795" s="79" t="s">
        <v>252</v>
      </c>
      <c r="G795" s="80">
        <v>750000</v>
      </c>
      <c r="H795" s="80">
        <v>27528.36</v>
      </c>
      <c r="I795" s="78" t="s">
        <v>4901</v>
      </c>
      <c r="J795" s="79" t="s">
        <v>5021</v>
      </c>
      <c r="K795" s="81" t="s">
        <v>5022</v>
      </c>
      <c r="L795" s="82">
        <v>40134</v>
      </c>
      <c r="M795" s="83">
        <v>40374</v>
      </c>
      <c r="N795" s="80">
        <v>677200.84</v>
      </c>
      <c r="O795" s="82">
        <v>40376</v>
      </c>
      <c r="P795" s="84" t="s">
        <v>5023</v>
      </c>
      <c r="Q795" s="80">
        <v>0</v>
      </c>
      <c r="R795" s="80">
        <v>677200.84</v>
      </c>
      <c r="S795" s="80"/>
      <c r="T795" s="81" t="s">
        <v>5009</v>
      </c>
      <c r="U795" s="80">
        <v>320748.44</v>
      </c>
      <c r="V795" s="80"/>
      <c r="W795" s="80"/>
      <c r="X795" s="80">
        <v>320748.44</v>
      </c>
      <c r="Y795" s="76" t="s">
        <v>212</v>
      </c>
      <c r="Z795" s="19" t="s">
        <v>7038</v>
      </c>
      <c r="AA795" s="28" t="s">
        <v>7684</v>
      </c>
      <c r="AB795" s="56">
        <v>43425</v>
      </c>
      <c r="AC795" s="28" t="s">
        <v>7685</v>
      </c>
      <c r="AD795" s="28" t="s">
        <v>7686</v>
      </c>
      <c r="AE795" s="54" t="s">
        <v>7687</v>
      </c>
      <c r="AF795" s="54"/>
      <c r="AG795" s="54" t="s">
        <v>7695</v>
      </c>
      <c r="AH795" s="53" t="s">
        <v>39</v>
      </c>
      <c r="AI795" s="53" t="s">
        <v>2686</v>
      </c>
      <c r="AJ795" s="53" t="s">
        <v>1591</v>
      </c>
    </row>
    <row r="796" spans="1:36" s="3" customFormat="1" ht="72" x14ac:dyDescent="0.25">
      <c r="A796" s="17" t="s">
        <v>1175</v>
      </c>
      <c r="B796" s="18" t="s">
        <v>37</v>
      </c>
      <c r="C796" s="76" t="s">
        <v>5024</v>
      </c>
      <c r="D796" s="45" t="s">
        <v>5025</v>
      </c>
      <c r="E796" s="78"/>
      <c r="F796" s="79"/>
      <c r="G796" s="80"/>
      <c r="H796" s="80"/>
      <c r="I796" s="78" t="s">
        <v>5016</v>
      </c>
      <c r="J796" s="79" t="s">
        <v>5017</v>
      </c>
      <c r="K796" s="81" t="s">
        <v>979</v>
      </c>
      <c r="L796" s="82">
        <v>42367</v>
      </c>
      <c r="M796" s="83">
        <v>42487</v>
      </c>
      <c r="N796" s="80">
        <v>145540.43</v>
      </c>
      <c r="O796" s="82">
        <v>42489</v>
      </c>
      <c r="P796" s="84"/>
      <c r="Q796" s="80">
        <v>0</v>
      </c>
      <c r="R796" s="80">
        <v>145540.43</v>
      </c>
      <c r="S796" s="80"/>
      <c r="T796" s="81" t="s">
        <v>5009</v>
      </c>
      <c r="U796" s="80"/>
      <c r="V796" s="80"/>
      <c r="W796" s="80"/>
      <c r="X796" s="80"/>
      <c r="Y796" s="76" t="s">
        <v>5026</v>
      </c>
      <c r="Z796" s="19" t="s">
        <v>7038</v>
      </c>
      <c r="AA796" s="28" t="s">
        <v>7684</v>
      </c>
      <c r="AB796" s="56">
        <v>43425</v>
      </c>
      <c r="AC796" s="28" t="s">
        <v>7685</v>
      </c>
      <c r="AD796" s="28" t="s">
        <v>7686</v>
      </c>
      <c r="AE796" s="54" t="s">
        <v>7696</v>
      </c>
      <c r="AF796" s="54"/>
      <c r="AG796" s="54" t="s">
        <v>7697</v>
      </c>
      <c r="AH796" s="53" t="s">
        <v>1591</v>
      </c>
      <c r="AI796" s="53" t="s">
        <v>2686</v>
      </c>
      <c r="AJ796" s="53" t="s">
        <v>1591</v>
      </c>
    </row>
    <row r="797" spans="1:36" s="3" customFormat="1" ht="96" x14ac:dyDescent="0.25">
      <c r="A797" s="17" t="s">
        <v>1187</v>
      </c>
      <c r="B797" s="18" t="s">
        <v>37</v>
      </c>
      <c r="C797" s="19" t="s">
        <v>3513</v>
      </c>
      <c r="D797" s="45" t="s">
        <v>1192</v>
      </c>
      <c r="E797" s="50" t="s">
        <v>3810</v>
      </c>
      <c r="F797" s="58" t="s">
        <v>1193</v>
      </c>
      <c r="G797" s="51">
        <v>2950000</v>
      </c>
      <c r="H797" s="51">
        <v>92000</v>
      </c>
      <c r="I797" s="50" t="s">
        <v>1190</v>
      </c>
      <c r="J797" s="58" t="s">
        <v>1191</v>
      </c>
      <c r="K797" s="52" t="s">
        <v>1194</v>
      </c>
      <c r="L797" s="59">
        <v>41085</v>
      </c>
      <c r="M797" s="60">
        <f>L797+365</f>
        <v>41450</v>
      </c>
      <c r="N797" s="51">
        <v>4812271.16</v>
      </c>
      <c r="O797" s="59" t="s">
        <v>46</v>
      </c>
      <c r="P797" s="59">
        <v>0</v>
      </c>
      <c r="Q797" s="51"/>
      <c r="R797" s="51">
        <f>N797+Q797</f>
        <v>4812271.16</v>
      </c>
      <c r="S797" s="51"/>
      <c r="T797" s="52" t="s">
        <v>45</v>
      </c>
      <c r="U797" s="51">
        <v>1926198.76</v>
      </c>
      <c r="V797" s="51"/>
      <c r="W797" s="51">
        <v>508215.85</v>
      </c>
      <c r="X797" s="51">
        <v>2434414.61</v>
      </c>
      <c r="Y797" s="19" t="s">
        <v>133</v>
      </c>
      <c r="Z797" s="19"/>
      <c r="AA797" s="28" t="s">
        <v>7698</v>
      </c>
      <c r="AB797" s="56">
        <v>43412</v>
      </c>
      <c r="AC797" s="28" t="s">
        <v>7699</v>
      </c>
      <c r="AD797" s="28" t="s">
        <v>7700</v>
      </c>
      <c r="AE797" s="54" t="s">
        <v>7701</v>
      </c>
      <c r="AF797" s="54"/>
      <c r="AG797" s="54" t="s">
        <v>7702</v>
      </c>
      <c r="AH797" s="53" t="s">
        <v>1591</v>
      </c>
      <c r="AI797" s="53" t="s">
        <v>2686</v>
      </c>
      <c r="AJ797" s="53" t="s">
        <v>1591</v>
      </c>
    </row>
    <row r="798" spans="1:36" s="3" customFormat="1" ht="60" x14ac:dyDescent="0.25">
      <c r="A798" s="17" t="s">
        <v>1187</v>
      </c>
      <c r="B798" s="18" t="s">
        <v>37</v>
      </c>
      <c r="C798" s="19" t="s">
        <v>3514</v>
      </c>
      <c r="D798" s="45" t="s">
        <v>1195</v>
      </c>
      <c r="E798" s="50" t="s">
        <v>1196</v>
      </c>
      <c r="F798" s="58" t="s">
        <v>1197</v>
      </c>
      <c r="G798" s="51" t="s">
        <v>46</v>
      </c>
      <c r="H798" s="51" t="s">
        <v>46</v>
      </c>
      <c r="I798" s="50" t="s">
        <v>1190</v>
      </c>
      <c r="J798" s="58" t="s">
        <v>1191</v>
      </c>
      <c r="K798" s="52" t="s">
        <v>1198</v>
      </c>
      <c r="L798" s="59">
        <v>41155</v>
      </c>
      <c r="M798" s="60">
        <f>L798+270</f>
        <v>41425</v>
      </c>
      <c r="N798" s="51">
        <v>1267950.46</v>
      </c>
      <c r="O798" s="59" t="s">
        <v>46</v>
      </c>
      <c r="P798" s="59">
        <v>0</v>
      </c>
      <c r="Q798" s="51"/>
      <c r="R798" s="51">
        <f>N798+Q798</f>
        <v>1267950.46</v>
      </c>
      <c r="S798" s="51"/>
      <c r="T798" s="52" t="s">
        <v>45</v>
      </c>
      <c r="U798" s="51">
        <v>931536.06</v>
      </c>
      <c r="V798" s="51"/>
      <c r="W798" s="51">
        <v>0</v>
      </c>
      <c r="X798" s="51">
        <v>931536.06</v>
      </c>
      <c r="Y798" s="19" t="s">
        <v>133</v>
      </c>
      <c r="Z798" s="19"/>
      <c r="AA798" s="28" t="s">
        <v>7698</v>
      </c>
      <c r="AB798" s="56">
        <v>43412</v>
      </c>
      <c r="AC798" s="28" t="s">
        <v>7699</v>
      </c>
      <c r="AD798" s="28" t="s">
        <v>7700</v>
      </c>
      <c r="AE798" s="54" t="s">
        <v>7703</v>
      </c>
      <c r="AF798" s="54"/>
      <c r="AG798" s="54" t="s">
        <v>7704</v>
      </c>
      <c r="AH798" s="53" t="s">
        <v>1591</v>
      </c>
      <c r="AI798" s="53" t="s">
        <v>2686</v>
      </c>
      <c r="AJ798" s="53" t="s">
        <v>1591</v>
      </c>
    </row>
    <row r="799" spans="1:36" s="3" customFormat="1" ht="84" x14ac:dyDescent="0.25">
      <c r="A799" s="17" t="s">
        <v>1187</v>
      </c>
      <c r="B799" s="18" t="s">
        <v>37</v>
      </c>
      <c r="C799" s="19" t="s">
        <v>3515</v>
      </c>
      <c r="D799" s="45" t="s">
        <v>1200</v>
      </c>
      <c r="E799" s="50" t="s">
        <v>46</v>
      </c>
      <c r="F799" s="58" t="s">
        <v>1201</v>
      </c>
      <c r="G799" s="51">
        <v>509921.58</v>
      </c>
      <c r="H799" s="51" t="s">
        <v>46</v>
      </c>
      <c r="I799" s="50" t="s">
        <v>558</v>
      </c>
      <c r="J799" s="58" t="s">
        <v>845</v>
      </c>
      <c r="K799" s="52" t="s">
        <v>1202</v>
      </c>
      <c r="L799" s="59">
        <v>41726</v>
      </c>
      <c r="M799" s="60">
        <f>L799+270</f>
        <v>41996</v>
      </c>
      <c r="N799" s="51">
        <v>484514.98</v>
      </c>
      <c r="O799" s="59" t="s">
        <v>46</v>
      </c>
      <c r="P799" s="59">
        <v>0</v>
      </c>
      <c r="Q799" s="51"/>
      <c r="R799" s="51">
        <f>N799+Q799</f>
        <v>484514.98</v>
      </c>
      <c r="S799" s="51"/>
      <c r="T799" s="52" t="s">
        <v>45</v>
      </c>
      <c r="U799" s="51">
        <v>392511.44</v>
      </c>
      <c r="V799" s="51"/>
      <c r="W799" s="51">
        <v>29170</v>
      </c>
      <c r="X799" s="51">
        <v>421681.44</v>
      </c>
      <c r="Y799" s="19" t="s">
        <v>133</v>
      </c>
      <c r="Z799" s="19"/>
      <c r="AA799" s="28" t="s">
        <v>7698</v>
      </c>
      <c r="AB799" s="56">
        <v>43412</v>
      </c>
      <c r="AC799" s="28" t="s">
        <v>7699</v>
      </c>
      <c r="AD799" s="28" t="s">
        <v>7700</v>
      </c>
      <c r="AE799" s="54" t="s">
        <v>7705</v>
      </c>
      <c r="AF799" s="54"/>
      <c r="AG799" s="54" t="s">
        <v>7706</v>
      </c>
      <c r="AH799" s="53" t="s">
        <v>1591</v>
      </c>
      <c r="AI799" s="53" t="s">
        <v>2686</v>
      </c>
      <c r="AJ799" s="53" t="s">
        <v>1591</v>
      </c>
    </row>
    <row r="800" spans="1:36" s="3" customFormat="1" ht="72" x14ac:dyDescent="0.25">
      <c r="A800" s="17" t="s">
        <v>1187</v>
      </c>
      <c r="B800" s="18" t="s">
        <v>37</v>
      </c>
      <c r="C800" s="19" t="s">
        <v>3516</v>
      </c>
      <c r="D800" s="45" t="s">
        <v>1203</v>
      </c>
      <c r="E800" s="50" t="s">
        <v>46</v>
      </c>
      <c r="F800" s="58" t="s">
        <v>1204</v>
      </c>
      <c r="G800" s="51"/>
      <c r="H800" s="51"/>
      <c r="I800" s="50" t="s">
        <v>1205</v>
      </c>
      <c r="J800" s="58" t="s">
        <v>1206</v>
      </c>
      <c r="K800" s="52" t="s">
        <v>1207</v>
      </c>
      <c r="L800" s="59">
        <v>41912</v>
      </c>
      <c r="M800" s="60">
        <f>L800+270</f>
        <v>42182</v>
      </c>
      <c r="N800" s="51">
        <v>483318.95</v>
      </c>
      <c r="O800" s="59" t="s">
        <v>46</v>
      </c>
      <c r="P800" s="59">
        <f>M800+730</f>
        <v>42912</v>
      </c>
      <c r="Q800" s="51"/>
      <c r="R800" s="51">
        <f>N800+Q800</f>
        <v>483318.95</v>
      </c>
      <c r="S800" s="51"/>
      <c r="T800" s="52" t="s">
        <v>45</v>
      </c>
      <c r="U800" s="51">
        <v>301625.73</v>
      </c>
      <c r="V800" s="51"/>
      <c r="W800" s="51">
        <v>60076.93</v>
      </c>
      <c r="X800" s="51">
        <v>361702.66</v>
      </c>
      <c r="Y800" s="19" t="s">
        <v>133</v>
      </c>
      <c r="Z800" s="19"/>
      <c r="AA800" s="28" t="s">
        <v>7698</v>
      </c>
      <c r="AB800" s="56">
        <v>43412</v>
      </c>
      <c r="AC800" s="28" t="s">
        <v>7699</v>
      </c>
      <c r="AD800" s="28" t="s">
        <v>7700</v>
      </c>
      <c r="AE800" s="54" t="s">
        <v>7707</v>
      </c>
      <c r="AF800" s="54"/>
      <c r="AG800" s="54" t="s">
        <v>7708</v>
      </c>
      <c r="AH800" s="53" t="s">
        <v>1591</v>
      </c>
      <c r="AI800" s="53" t="s">
        <v>2686</v>
      </c>
      <c r="AJ800" s="53" t="s">
        <v>1591</v>
      </c>
    </row>
    <row r="801" spans="1:36" s="3" customFormat="1" ht="108" x14ac:dyDescent="0.25">
      <c r="A801" s="17" t="s">
        <v>1211</v>
      </c>
      <c r="B801" s="18" t="s">
        <v>37</v>
      </c>
      <c r="C801" s="76" t="s">
        <v>5031</v>
      </c>
      <c r="D801" s="77" t="s">
        <v>5032</v>
      </c>
      <c r="E801" s="78" t="s">
        <v>1214</v>
      </c>
      <c r="F801" s="79" t="s">
        <v>43</v>
      </c>
      <c r="G801" s="80">
        <v>510000</v>
      </c>
      <c r="H801" s="80">
        <v>103873.61</v>
      </c>
      <c r="I801" s="78" t="s">
        <v>1146</v>
      </c>
      <c r="J801" s="79" t="s">
        <v>1215</v>
      </c>
      <c r="K801" s="81" t="s">
        <v>5033</v>
      </c>
      <c r="L801" s="82">
        <v>41323</v>
      </c>
      <c r="M801" s="83">
        <v>41503</v>
      </c>
      <c r="N801" s="80">
        <v>613873.61</v>
      </c>
      <c r="O801" s="82" t="s">
        <v>5030</v>
      </c>
      <c r="P801" s="84" t="s">
        <v>5034</v>
      </c>
      <c r="Q801" s="80">
        <v>0</v>
      </c>
      <c r="R801" s="80">
        <v>613873.61</v>
      </c>
      <c r="S801" s="80" t="s">
        <v>5029</v>
      </c>
      <c r="T801" s="81">
        <v>449051</v>
      </c>
      <c r="U801" s="80"/>
      <c r="V801" s="80"/>
      <c r="W801" s="80"/>
      <c r="X801" s="80">
        <v>464296.49</v>
      </c>
      <c r="Y801" s="76" t="s">
        <v>42</v>
      </c>
      <c r="Z801" s="19" t="s">
        <v>7038</v>
      </c>
      <c r="AA801" s="28" t="s">
        <v>7709</v>
      </c>
      <c r="AB801" s="56">
        <v>43412</v>
      </c>
      <c r="AC801" s="28" t="s">
        <v>3211</v>
      </c>
      <c r="AD801" s="28" t="s">
        <v>7710</v>
      </c>
      <c r="AE801" s="54" t="s">
        <v>7711</v>
      </c>
      <c r="AF801" s="54"/>
      <c r="AG801" s="54" t="s">
        <v>7712</v>
      </c>
      <c r="AH801" s="53" t="s">
        <v>1591</v>
      </c>
      <c r="AI801" s="53" t="s">
        <v>2686</v>
      </c>
      <c r="AJ801" s="53" t="s">
        <v>1591</v>
      </c>
    </row>
    <row r="802" spans="1:36" s="3" customFormat="1" ht="72" x14ac:dyDescent="0.25">
      <c r="A802" s="35" t="s">
        <v>2858</v>
      </c>
      <c r="B802" s="18" t="s">
        <v>37</v>
      </c>
      <c r="C802" s="76"/>
      <c r="D802" s="43" t="s">
        <v>5035</v>
      </c>
      <c r="E802" s="78"/>
      <c r="F802" s="36" t="s">
        <v>5036</v>
      </c>
      <c r="G802" s="80"/>
      <c r="H802" s="80"/>
      <c r="I802" s="36" t="s">
        <v>159</v>
      </c>
      <c r="J802" s="34" t="s">
        <v>178</v>
      </c>
      <c r="K802" s="37" t="s">
        <v>5037</v>
      </c>
      <c r="L802" s="38">
        <v>41075</v>
      </c>
      <c r="M802" s="39">
        <v>41255</v>
      </c>
      <c r="N802" s="42">
        <v>493793.64</v>
      </c>
      <c r="O802" s="85" t="s">
        <v>5038</v>
      </c>
      <c r="P802" s="86"/>
      <c r="Q802" s="41"/>
      <c r="R802" s="41">
        <v>493793.64</v>
      </c>
      <c r="S802" s="80"/>
      <c r="T802" s="81"/>
      <c r="U802" s="80"/>
      <c r="V802" s="80"/>
      <c r="W802" s="42"/>
      <c r="X802" s="42">
        <v>12887.99</v>
      </c>
      <c r="Y802" s="34" t="s">
        <v>4321</v>
      </c>
      <c r="Z802" s="19" t="s">
        <v>7038</v>
      </c>
      <c r="AA802" s="28" t="s">
        <v>7709</v>
      </c>
      <c r="AB802" s="56">
        <v>43412</v>
      </c>
      <c r="AC802" s="28" t="s">
        <v>3211</v>
      </c>
      <c r="AD802" s="28" t="s">
        <v>7710</v>
      </c>
      <c r="AE802" s="54" t="s">
        <v>7713</v>
      </c>
      <c r="AF802" s="54"/>
      <c r="AG802" s="54" t="s">
        <v>7714</v>
      </c>
      <c r="AH802" s="53" t="s">
        <v>1591</v>
      </c>
      <c r="AI802" s="53" t="s">
        <v>2686</v>
      </c>
      <c r="AJ802" s="53" t="s">
        <v>1591</v>
      </c>
    </row>
    <row r="803" spans="1:36" s="3" customFormat="1" ht="84" x14ac:dyDescent="0.25">
      <c r="A803" s="35" t="s">
        <v>2858</v>
      </c>
      <c r="B803" s="18" t="s">
        <v>37</v>
      </c>
      <c r="C803" s="76"/>
      <c r="D803" s="43" t="s">
        <v>5039</v>
      </c>
      <c r="E803" s="78"/>
      <c r="F803" s="36" t="s">
        <v>1217</v>
      </c>
      <c r="G803" s="80"/>
      <c r="H803" s="80"/>
      <c r="I803" s="36" t="s">
        <v>5040</v>
      </c>
      <c r="J803" s="34" t="s">
        <v>5041</v>
      </c>
      <c r="K803" s="37" t="s">
        <v>1244</v>
      </c>
      <c r="L803" s="38">
        <v>41764</v>
      </c>
      <c r="M803" s="39">
        <v>41824</v>
      </c>
      <c r="N803" s="42">
        <v>89350</v>
      </c>
      <c r="O803" s="85" t="s">
        <v>5042</v>
      </c>
      <c r="P803" s="86"/>
      <c r="Q803" s="41"/>
      <c r="R803" s="41">
        <v>89350</v>
      </c>
      <c r="S803" s="80"/>
      <c r="T803" s="81"/>
      <c r="U803" s="80"/>
      <c r="V803" s="80"/>
      <c r="W803" s="42"/>
      <c r="X803" s="42">
        <v>79750</v>
      </c>
      <c r="Y803" s="34" t="s">
        <v>4321</v>
      </c>
      <c r="Z803" s="19" t="s">
        <v>7038</v>
      </c>
      <c r="AA803" s="28" t="s">
        <v>7709</v>
      </c>
      <c r="AB803" s="56">
        <v>43412</v>
      </c>
      <c r="AC803" s="28" t="s">
        <v>3211</v>
      </c>
      <c r="AD803" s="28" t="s">
        <v>7710</v>
      </c>
      <c r="AE803" s="54" t="s">
        <v>7715</v>
      </c>
      <c r="AF803" s="54"/>
      <c r="AG803" s="54" t="s">
        <v>7716</v>
      </c>
      <c r="AH803" s="53" t="s">
        <v>1591</v>
      </c>
      <c r="AI803" s="53" t="s">
        <v>2686</v>
      </c>
      <c r="AJ803" s="53" t="s">
        <v>1591</v>
      </c>
    </row>
    <row r="804" spans="1:36" s="3" customFormat="1" ht="36" x14ac:dyDescent="0.25">
      <c r="A804" s="17" t="s">
        <v>1219</v>
      </c>
      <c r="B804" s="18" t="s">
        <v>37</v>
      </c>
      <c r="C804" s="76" t="s">
        <v>676</v>
      </c>
      <c r="D804" s="45" t="s">
        <v>5044</v>
      </c>
      <c r="E804" s="78" t="s">
        <v>5045</v>
      </c>
      <c r="F804" s="79" t="s">
        <v>252</v>
      </c>
      <c r="G804" s="80">
        <v>74898.149999999994</v>
      </c>
      <c r="H804" s="80"/>
      <c r="I804" s="78" t="s">
        <v>760</v>
      </c>
      <c r="J804" s="79" t="s">
        <v>5043</v>
      </c>
      <c r="K804" s="81" t="s">
        <v>339</v>
      </c>
      <c r="L804" s="82">
        <v>42535</v>
      </c>
      <c r="M804" s="83">
        <v>42715</v>
      </c>
      <c r="N804" s="80">
        <v>72514.429999999993</v>
      </c>
      <c r="O804" s="82"/>
      <c r="P804" s="84"/>
      <c r="Q804" s="80">
        <v>16852.940000000002</v>
      </c>
      <c r="R804" s="80">
        <v>89367.37</v>
      </c>
      <c r="S804" s="80"/>
      <c r="T804" s="81" t="s">
        <v>132</v>
      </c>
      <c r="U804" s="80"/>
      <c r="V804" s="80"/>
      <c r="W804" s="80"/>
      <c r="X804" s="80">
        <v>68205.45</v>
      </c>
      <c r="Y804" s="76" t="s">
        <v>133</v>
      </c>
      <c r="Z804" s="19" t="s">
        <v>7038</v>
      </c>
      <c r="AA804" s="28" t="s">
        <v>7717</v>
      </c>
      <c r="AB804" s="56">
        <v>43418</v>
      </c>
      <c r="AC804" s="28" t="s">
        <v>7718</v>
      </c>
      <c r="AD804" s="28" t="s">
        <v>7719</v>
      </c>
      <c r="AE804" s="54" t="s">
        <v>7720</v>
      </c>
      <c r="AF804" s="54"/>
      <c r="AG804" s="54" t="s">
        <v>7721</v>
      </c>
      <c r="AH804" s="53" t="s">
        <v>1591</v>
      </c>
      <c r="AI804" s="53" t="s">
        <v>2686</v>
      </c>
      <c r="AJ804" s="53" t="s">
        <v>1591</v>
      </c>
    </row>
    <row r="805" spans="1:36" s="3" customFormat="1" ht="36" x14ac:dyDescent="0.25">
      <c r="A805" s="17" t="s">
        <v>1219</v>
      </c>
      <c r="B805" s="18" t="s">
        <v>37</v>
      </c>
      <c r="C805" s="76" t="s">
        <v>673</v>
      </c>
      <c r="D805" s="45" t="s">
        <v>5046</v>
      </c>
      <c r="E805" s="78"/>
      <c r="F805" s="79"/>
      <c r="G805" s="80"/>
      <c r="H805" s="80"/>
      <c r="I805" s="78" t="s">
        <v>50</v>
      </c>
      <c r="J805" s="79" t="s">
        <v>5047</v>
      </c>
      <c r="K805" s="81"/>
      <c r="L805" s="82">
        <v>42432</v>
      </c>
      <c r="M805" s="83">
        <v>42447</v>
      </c>
      <c r="N805" s="80">
        <v>13040</v>
      </c>
      <c r="O805" s="82"/>
      <c r="P805" s="84"/>
      <c r="Q805" s="80">
        <v>0</v>
      </c>
      <c r="R805" s="80">
        <v>13040</v>
      </c>
      <c r="S805" s="80"/>
      <c r="T805" s="81" t="s">
        <v>895</v>
      </c>
      <c r="U805" s="80"/>
      <c r="V805" s="80"/>
      <c r="W805" s="80"/>
      <c r="X805" s="80">
        <v>5964.76</v>
      </c>
      <c r="Y805" s="76" t="s">
        <v>468</v>
      </c>
      <c r="Z805" s="19" t="s">
        <v>7038</v>
      </c>
      <c r="AA805" s="28" t="s">
        <v>7717</v>
      </c>
      <c r="AB805" s="56">
        <v>43418</v>
      </c>
      <c r="AC805" s="28" t="s">
        <v>7718</v>
      </c>
      <c r="AD805" s="28" t="s">
        <v>7719</v>
      </c>
      <c r="AE805" s="54" t="s">
        <v>7722</v>
      </c>
      <c r="AF805" s="54"/>
      <c r="AG805" s="54" t="s">
        <v>7723</v>
      </c>
      <c r="AH805" s="53" t="s">
        <v>1591</v>
      </c>
      <c r="AI805" s="53" t="s">
        <v>2686</v>
      </c>
      <c r="AJ805" s="53" t="s">
        <v>1591</v>
      </c>
    </row>
    <row r="806" spans="1:36" s="3" customFormat="1" ht="48" x14ac:dyDescent="0.25">
      <c r="A806" s="17" t="s">
        <v>1220</v>
      </c>
      <c r="B806" s="18" t="s">
        <v>125</v>
      </c>
      <c r="C806" s="19" t="s">
        <v>3517</v>
      </c>
      <c r="D806" s="45" t="s">
        <v>3518</v>
      </c>
      <c r="E806" s="50"/>
      <c r="F806" s="58"/>
      <c r="G806" s="51"/>
      <c r="H806" s="51"/>
      <c r="I806" s="50" t="s">
        <v>3811</v>
      </c>
      <c r="J806" s="58" t="s">
        <v>3812</v>
      </c>
      <c r="K806" s="52">
        <v>8</v>
      </c>
      <c r="L806" s="59">
        <v>42783</v>
      </c>
      <c r="M806" s="60">
        <f>L806+240</f>
        <v>43023</v>
      </c>
      <c r="N806" s="51">
        <v>142609.63</v>
      </c>
      <c r="O806" s="59">
        <v>43025</v>
      </c>
      <c r="P806" s="59">
        <v>0</v>
      </c>
      <c r="Q806" s="51"/>
      <c r="R806" s="51">
        <f>N806+Q806</f>
        <v>142609.63</v>
      </c>
      <c r="S806" s="51"/>
      <c r="T806" s="52" t="s">
        <v>32</v>
      </c>
      <c r="U806" s="51">
        <v>118165.08</v>
      </c>
      <c r="V806" s="51">
        <v>9727.25</v>
      </c>
      <c r="W806" s="51">
        <v>118165.08</v>
      </c>
      <c r="X806" s="51">
        <v>118165.08</v>
      </c>
      <c r="Y806" s="19" t="s">
        <v>2097</v>
      </c>
      <c r="Z806" s="19"/>
      <c r="AA806" s="28"/>
      <c r="AB806" s="56"/>
      <c r="AC806" s="28"/>
      <c r="AD806" s="28"/>
      <c r="AE806" s="54"/>
      <c r="AF806" s="54"/>
      <c r="AG806" s="54"/>
      <c r="AH806" s="53"/>
      <c r="AI806" s="53" t="s">
        <v>1591</v>
      </c>
      <c r="AJ806" s="53" t="s">
        <v>1591</v>
      </c>
    </row>
    <row r="807" spans="1:36" s="3" customFormat="1" ht="48" x14ac:dyDescent="0.25">
      <c r="A807" s="17" t="s">
        <v>1220</v>
      </c>
      <c r="B807" s="18" t="s">
        <v>37</v>
      </c>
      <c r="C807" s="19" t="s">
        <v>1223</v>
      </c>
      <c r="D807" s="45" t="s">
        <v>1224</v>
      </c>
      <c r="E807" s="50"/>
      <c r="F807" s="58"/>
      <c r="G807" s="51"/>
      <c r="H807" s="51"/>
      <c r="I807" s="50" t="s">
        <v>912</v>
      </c>
      <c r="J807" s="58" t="s">
        <v>3813</v>
      </c>
      <c r="K807" s="52" t="s">
        <v>634</v>
      </c>
      <c r="L807" s="59">
        <v>40991</v>
      </c>
      <c r="M807" s="60">
        <f>L807+180</f>
        <v>41171</v>
      </c>
      <c r="N807" s="51">
        <v>1799971.59</v>
      </c>
      <c r="O807" s="59"/>
      <c r="P807" s="59">
        <v>0</v>
      </c>
      <c r="Q807" s="51">
        <v>344346.93</v>
      </c>
      <c r="R807" s="51">
        <f>N807+Q807</f>
        <v>2144318.52</v>
      </c>
      <c r="S807" s="51">
        <v>344346.93</v>
      </c>
      <c r="T807" s="52" t="s">
        <v>45</v>
      </c>
      <c r="U807" s="51">
        <v>517866.22</v>
      </c>
      <c r="V807" s="51"/>
      <c r="W807" s="51"/>
      <c r="X807" s="51">
        <v>517866.22</v>
      </c>
      <c r="Y807" s="19" t="s">
        <v>576</v>
      </c>
      <c r="Z807" s="19"/>
      <c r="AA807" s="28" t="s">
        <v>7724</v>
      </c>
      <c r="AB807" s="56">
        <v>43439</v>
      </c>
      <c r="AC807" s="28" t="s">
        <v>8353</v>
      </c>
      <c r="AD807" s="28">
        <v>62156</v>
      </c>
      <c r="AE807" s="54"/>
      <c r="AF807" s="54"/>
      <c r="AG807" s="54" t="s">
        <v>8354</v>
      </c>
      <c r="AH807" s="53" t="s">
        <v>1591</v>
      </c>
      <c r="AI807" s="53" t="s">
        <v>2686</v>
      </c>
      <c r="AJ807" s="53" t="s">
        <v>1591</v>
      </c>
    </row>
    <row r="808" spans="1:36" s="3" customFormat="1" ht="36" x14ac:dyDescent="0.25">
      <c r="A808" s="35" t="s">
        <v>1220</v>
      </c>
      <c r="B808" s="18" t="s">
        <v>37</v>
      </c>
      <c r="C808" s="19" t="s">
        <v>1226</v>
      </c>
      <c r="D808" s="43" t="s">
        <v>3522</v>
      </c>
      <c r="E808" s="50" t="s">
        <v>1227</v>
      </c>
      <c r="F808" s="36" t="s">
        <v>1228</v>
      </c>
      <c r="G808" s="51">
        <v>200000</v>
      </c>
      <c r="H808" s="51">
        <v>89036.479999999996</v>
      </c>
      <c r="I808" s="36" t="s">
        <v>660</v>
      </c>
      <c r="J808" s="34" t="s">
        <v>1229</v>
      </c>
      <c r="K808" s="37" t="s">
        <v>1230</v>
      </c>
      <c r="L808" s="38">
        <v>40658</v>
      </c>
      <c r="M808" s="39">
        <f>L808+180</f>
        <v>40838</v>
      </c>
      <c r="N808" s="42">
        <v>289036.48</v>
      </c>
      <c r="O808" s="74">
        <v>41020</v>
      </c>
      <c r="P808" s="39">
        <f>M808+360</f>
        <v>41198</v>
      </c>
      <c r="Q808" s="41">
        <v>89036.479999999996</v>
      </c>
      <c r="R808" s="51">
        <f>N808+Q808</f>
        <v>378072.95999999996</v>
      </c>
      <c r="S808" s="51"/>
      <c r="T808" s="52" t="s">
        <v>45</v>
      </c>
      <c r="U808" s="51"/>
      <c r="V808" s="51"/>
      <c r="W808" s="42"/>
      <c r="X808" s="42">
        <v>105653.05</v>
      </c>
      <c r="Y808" s="34" t="s">
        <v>542</v>
      </c>
      <c r="Z808" s="34"/>
      <c r="AA808" s="28" t="s">
        <v>7724</v>
      </c>
      <c r="AB808" s="56">
        <v>43439</v>
      </c>
      <c r="AC808" s="28" t="s">
        <v>8353</v>
      </c>
      <c r="AD808" s="28">
        <v>62156</v>
      </c>
      <c r="AE808" s="54" t="s">
        <v>8356</v>
      </c>
      <c r="AF808" s="54"/>
      <c r="AG808" s="54" t="s">
        <v>8355</v>
      </c>
      <c r="AH808" s="53" t="s">
        <v>1591</v>
      </c>
      <c r="AI808" s="53" t="s">
        <v>2686</v>
      </c>
      <c r="AJ808" s="53" t="s">
        <v>1591</v>
      </c>
    </row>
    <row r="809" spans="1:36" s="3" customFormat="1" ht="36" x14ac:dyDescent="0.25">
      <c r="A809" s="17" t="s">
        <v>1220</v>
      </c>
      <c r="B809" s="18" t="s">
        <v>37</v>
      </c>
      <c r="C809" s="19" t="s">
        <v>3521</v>
      </c>
      <c r="D809" s="45" t="s">
        <v>2924</v>
      </c>
      <c r="E809" s="50" t="s">
        <v>1236</v>
      </c>
      <c r="F809" s="58" t="s">
        <v>1237</v>
      </c>
      <c r="G809" s="51">
        <v>198000</v>
      </c>
      <c r="H809" s="51">
        <v>104064.15</v>
      </c>
      <c r="I809" s="50" t="s">
        <v>1233</v>
      </c>
      <c r="J809" s="58" t="s">
        <v>1234</v>
      </c>
      <c r="K809" s="52" t="s">
        <v>1238</v>
      </c>
      <c r="L809" s="59">
        <v>41116</v>
      </c>
      <c r="M809" s="60">
        <f>L809+60</f>
        <v>41176</v>
      </c>
      <c r="N809" s="51">
        <v>293887.78999999998</v>
      </c>
      <c r="O809" s="59">
        <v>42240</v>
      </c>
      <c r="P809" s="59">
        <f>M809+1037</f>
        <v>42213</v>
      </c>
      <c r="Q809" s="51"/>
      <c r="R809" s="51">
        <f>N809+Q809</f>
        <v>293887.78999999998</v>
      </c>
      <c r="S809" s="51"/>
      <c r="T809" s="52" t="s">
        <v>45</v>
      </c>
      <c r="U809" s="51">
        <v>197973.77</v>
      </c>
      <c r="V809" s="51"/>
      <c r="W809" s="51"/>
      <c r="X809" s="51">
        <v>197973.77</v>
      </c>
      <c r="Y809" s="19" t="s">
        <v>725</v>
      </c>
      <c r="Z809" s="19"/>
      <c r="AA809" s="28" t="s">
        <v>7724</v>
      </c>
      <c r="AB809" s="56">
        <v>43439</v>
      </c>
      <c r="AC809" s="28" t="s">
        <v>8353</v>
      </c>
      <c r="AD809" s="28">
        <v>62156</v>
      </c>
      <c r="AE809" s="54"/>
      <c r="AF809" s="54"/>
      <c r="AG809" s="54" t="s">
        <v>8357</v>
      </c>
      <c r="AH809" s="53" t="s">
        <v>1591</v>
      </c>
      <c r="AI809" s="53" t="s">
        <v>2686</v>
      </c>
      <c r="AJ809" s="53" t="s">
        <v>1591</v>
      </c>
    </row>
    <row r="810" spans="1:36" s="3" customFormat="1" ht="48" x14ac:dyDescent="0.25">
      <c r="A810" s="17" t="s">
        <v>1220</v>
      </c>
      <c r="B810" s="18" t="s">
        <v>37</v>
      </c>
      <c r="C810" s="19" t="s">
        <v>3519</v>
      </c>
      <c r="D810" s="45" t="s">
        <v>3520</v>
      </c>
      <c r="E810" s="50" t="s">
        <v>1231</v>
      </c>
      <c r="F810" s="58" t="s">
        <v>1232</v>
      </c>
      <c r="G810" s="51">
        <v>100000</v>
      </c>
      <c r="H810" s="51">
        <v>16574.650000000001</v>
      </c>
      <c r="I810" s="50" t="s">
        <v>1233</v>
      </c>
      <c r="J810" s="58" t="s">
        <v>1234</v>
      </c>
      <c r="K810" s="52" t="s">
        <v>1235</v>
      </c>
      <c r="L810" s="59">
        <v>41116</v>
      </c>
      <c r="M810" s="60">
        <f>L810+90</f>
        <v>41206</v>
      </c>
      <c r="N810" s="51">
        <v>211094.11</v>
      </c>
      <c r="O810" s="59">
        <v>42250</v>
      </c>
      <c r="P810" s="59">
        <f>M810+980</f>
        <v>42186</v>
      </c>
      <c r="Q810" s="51"/>
      <c r="R810" s="51">
        <f>N810+Q810</f>
        <v>211094.11</v>
      </c>
      <c r="S810" s="51"/>
      <c r="T810" s="52" t="s">
        <v>45</v>
      </c>
      <c r="U810" s="51">
        <v>100000</v>
      </c>
      <c r="V810" s="51"/>
      <c r="W810" s="51"/>
      <c r="X810" s="51">
        <v>100000</v>
      </c>
      <c r="Y810" s="19" t="s">
        <v>725</v>
      </c>
      <c r="Z810" s="19"/>
      <c r="AA810" s="28" t="s">
        <v>7724</v>
      </c>
      <c r="AB810" s="56">
        <v>43439</v>
      </c>
      <c r="AC810" s="28" t="s">
        <v>8353</v>
      </c>
      <c r="AD810" s="28">
        <v>62156</v>
      </c>
      <c r="AE810" s="54"/>
      <c r="AF810" s="54"/>
      <c r="AG810" s="54" t="s">
        <v>8357</v>
      </c>
      <c r="AH810" s="53" t="s">
        <v>1591</v>
      </c>
      <c r="AI810" s="53" t="s">
        <v>2686</v>
      </c>
      <c r="AJ810" s="53" t="s">
        <v>1591</v>
      </c>
    </row>
    <row r="811" spans="1:36" s="3" customFormat="1" ht="48" x14ac:dyDescent="0.25">
      <c r="A811" s="35" t="s">
        <v>2765</v>
      </c>
      <c r="B811" s="18" t="s">
        <v>37</v>
      </c>
      <c r="C811" s="76"/>
      <c r="D811" s="43" t="s">
        <v>5051</v>
      </c>
      <c r="E811" s="78"/>
      <c r="F811" s="36" t="s">
        <v>43</v>
      </c>
      <c r="G811" s="80"/>
      <c r="H811" s="80"/>
      <c r="I811" s="36" t="s">
        <v>5052</v>
      </c>
      <c r="J811" s="34" t="s">
        <v>5053</v>
      </c>
      <c r="K811" s="37" t="s">
        <v>5054</v>
      </c>
      <c r="L811" s="38">
        <v>41249</v>
      </c>
      <c r="M811" s="39">
        <v>41519</v>
      </c>
      <c r="N811" s="42">
        <v>1486005.13</v>
      </c>
      <c r="O811" s="85" t="s">
        <v>5055</v>
      </c>
      <c r="P811" s="86">
        <v>41789</v>
      </c>
      <c r="Q811" s="41"/>
      <c r="R811" s="41">
        <v>1486005.13</v>
      </c>
      <c r="S811" s="80"/>
      <c r="T811" s="81"/>
      <c r="U811" s="80"/>
      <c r="V811" s="80"/>
      <c r="W811" s="42"/>
      <c r="X811" s="42">
        <v>1184756.04</v>
      </c>
      <c r="Y811" s="34" t="s">
        <v>4321</v>
      </c>
      <c r="Z811" s="19" t="s">
        <v>7038</v>
      </c>
      <c r="AA811" s="28" t="s">
        <v>8475</v>
      </c>
      <c r="AB811" s="56">
        <v>43411</v>
      </c>
      <c r="AC811" s="28" t="s">
        <v>7725</v>
      </c>
      <c r="AD811" s="28" t="s">
        <v>7726</v>
      </c>
      <c r="AE811" s="54" t="s">
        <v>7727</v>
      </c>
      <c r="AF811" s="54"/>
      <c r="AG811" s="54" t="s">
        <v>7728</v>
      </c>
      <c r="AH811" s="53" t="s">
        <v>1591</v>
      </c>
      <c r="AI811" s="53" t="s">
        <v>2686</v>
      </c>
      <c r="AJ811" s="53" t="s">
        <v>1591</v>
      </c>
    </row>
    <row r="812" spans="1:36" s="3" customFormat="1" ht="36" x14ac:dyDescent="0.25">
      <c r="A812" s="17" t="s">
        <v>1239</v>
      </c>
      <c r="B812" s="18" t="s">
        <v>37</v>
      </c>
      <c r="C812" s="76" t="s">
        <v>5057</v>
      </c>
      <c r="D812" s="45" t="s">
        <v>5058</v>
      </c>
      <c r="E812" s="78" t="s">
        <v>1250</v>
      </c>
      <c r="F812" s="79" t="s">
        <v>1251</v>
      </c>
      <c r="G812" s="80">
        <v>905659.86</v>
      </c>
      <c r="H812" s="80"/>
      <c r="I812" s="78" t="s">
        <v>900</v>
      </c>
      <c r="J812" s="79" t="s">
        <v>5056</v>
      </c>
      <c r="K812" s="81" t="s">
        <v>230</v>
      </c>
      <c r="L812" s="82">
        <v>41815</v>
      </c>
      <c r="M812" s="83">
        <v>42115</v>
      </c>
      <c r="N812" s="80">
        <v>904779.15</v>
      </c>
      <c r="O812" s="82"/>
      <c r="P812" s="84" t="s">
        <v>4469</v>
      </c>
      <c r="Q812" s="80">
        <v>0</v>
      </c>
      <c r="R812" s="80">
        <v>904779.15</v>
      </c>
      <c r="S812" s="80"/>
      <c r="T812" s="81" t="s">
        <v>52</v>
      </c>
      <c r="U812" s="80">
        <v>46388.92</v>
      </c>
      <c r="V812" s="80"/>
      <c r="W812" s="80"/>
      <c r="X812" s="80">
        <v>427962.11</v>
      </c>
      <c r="Y812" s="76" t="s">
        <v>175</v>
      </c>
      <c r="Z812" s="19" t="s">
        <v>7038</v>
      </c>
      <c r="AA812" s="28" t="s">
        <v>8475</v>
      </c>
      <c r="AB812" s="56">
        <v>43411</v>
      </c>
      <c r="AC812" s="28" t="s">
        <v>7725</v>
      </c>
      <c r="AD812" s="28" t="s">
        <v>7726</v>
      </c>
      <c r="AE812" s="54" t="s">
        <v>7729</v>
      </c>
      <c r="AF812" s="54"/>
      <c r="AG812" s="54" t="s">
        <v>7730</v>
      </c>
      <c r="AH812" s="53" t="s">
        <v>1591</v>
      </c>
      <c r="AI812" s="53" t="s">
        <v>2686</v>
      </c>
      <c r="AJ812" s="53" t="s">
        <v>1591</v>
      </c>
    </row>
    <row r="813" spans="1:36" s="3" customFormat="1" ht="60" x14ac:dyDescent="0.25">
      <c r="A813" s="17" t="s">
        <v>2765</v>
      </c>
      <c r="B813" s="18" t="s">
        <v>37</v>
      </c>
      <c r="C813" s="19" t="s">
        <v>3527</v>
      </c>
      <c r="D813" s="45" t="s">
        <v>3528</v>
      </c>
      <c r="E813" s="50" t="s">
        <v>3822</v>
      </c>
      <c r="F813" s="58" t="s">
        <v>677</v>
      </c>
      <c r="G813" s="51">
        <v>408000</v>
      </c>
      <c r="H813" s="51">
        <v>161856.63</v>
      </c>
      <c r="I813" s="50" t="s">
        <v>3818</v>
      </c>
      <c r="J813" s="58" t="s">
        <v>3819</v>
      </c>
      <c r="K813" s="52" t="s">
        <v>3823</v>
      </c>
      <c r="L813" s="59">
        <v>42968</v>
      </c>
      <c r="M813" s="60">
        <f>L813+180</f>
        <v>43148</v>
      </c>
      <c r="N813" s="51">
        <v>558447.98</v>
      </c>
      <c r="O813" s="59">
        <v>43333</v>
      </c>
      <c r="P813" s="59"/>
      <c r="Q813" s="51"/>
      <c r="R813" s="51">
        <f>N813+Q813</f>
        <v>558447.98</v>
      </c>
      <c r="S813" s="51"/>
      <c r="T813" s="52" t="s">
        <v>3933</v>
      </c>
      <c r="U813" s="51">
        <v>0</v>
      </c>
      <c r="V813" s="51">
        <v>0</v>
      </c>
      <c r="W813" s="51">
        <v>0</v>
      </c>
      <c r="X813" s="51">
        <v>0</v>
      </c>
      <c r="Y813" s="19" t="s">
        <v>503</v>
      </c>
      <c r="Z813" s="19"/>
      <c r="AA813" s="28" t="s">
        <v>8475</v>
      </c>
      <c r="AB813" s="56">
        <v>43411</v>
      </c>
      <c r="AC813" s="28" t="s">
        <v>7725</v>
      </c>
      <c r="AD813" s="28" t="s">
        <v>7726</v>
      </c>
      <c r="AE813" s="54" t="s">
        <v>7731</v>
      </c>
      <c r="AF813" s="54"/>
      <c r="AG813" s="54" t="s">
        <v>6138</v>
      </c>
      <c r="AH813" s="53" t="s">
        <v>1591</v>
      </c>
      <c r="AI813" s="53" t="s">
        <v>2686</v>
      </c>
      <c r="AJ813" s="53" t="s">
        <v>1591</v>
      </c>
    </row>
    <row r="814" spans="1:36" s="3" customFormat="1" ht="48" x14ac:dyDescent="0.25">
      <c r="A814" s="17" t="s">
        <v>2765</v>
      </c>
      <c r="B814" s="18" t="s">
        <v>37</v>
      </c>
      <c r="C814" s="19" t="s">
        <v>687</v>
      </c>
      <c r="D814" s="45" t="s">
        <v>3524</v>
      </c>
      <c r="E814" s="50" t="s">
        <v>3817</v>
      </c>
      <c r="F814" s="58" t="s">
        <v>43</v>
      </c>
      <c r="G814" s="51">
        <v>509883.74</v>
      </c>
      <c r="H814" s="51">
        <v>0</v>
      </c>
      <c r="I814" s="50" t="s">
        <v>1018</v>
      </c>
      <c r="J814" s="58" t="s">
        <v>3816</v>
      </c>
      <c r="K814" s="52" t="s">
        <v>1245</v>
      </c>
      <c r="L814" s="59">
        <v>41619</v>
      </c>
      <c r="M814" s="60">
        <f>L814+180</f>
        <v>41799</v>
      </c>
      <c r="N814" s="51">
        <v>502235.49</v>
      </c>
      <c r="O814" s="59">
        <v>43238</v>
      </c>
      <c r="P814" s="59"/>
      <c r="Q814" s="51"/>
      <c r="R814" s="51">
        <f>N814+Q814</f>
        <v>502235.49</v>
      </c>
      <c r="S814" s="51"/>
      <c r="T814" s="52" t="s">
        <v>3933</v>
      </c>
      <c r="U814" s="51" t="s">
        <v>200</v>
      </c>
      <c r="V814" s="51">
        <v>0</v>
      </c>
      <c r="W814" s="51">
        <v>0</v>
      </c>
      <c r="X814" s="51">
        <v>281992.15999999997</v>
      </c>
      <c r="Y814" s="19" t="s">
        <v>503</v>
      </c>
      <c r="Z814" s="19"/>
      <c r="AA814" s="28" t="s">
        <v>8475</v>
      </c>
      <c r="AB814" s="56">
        <v>43411</v>
      </c>
      <c r="AC814" s="28" t="s">
        <v>7725</v>
      </c>
      <c r="AD814" s="28" t="s">
        <v>7726</v>
      </c>
      <c r="AE814" s="54" t="s">
        <v>7727</v>
      </c>
      <c r="AF814" s="54"/>
      <c r="AG814" s="54" t="s">
        <v>7728</v>
      </c>
      <c r="AH814" s="53" t="s">
        <v>1591</v>
      </c>
      <c r="AI814" s="53" t="s">
        <v>2686</v>
      </c>
      <c r="AJ814" s="53" t="s">
        <v>1591</v>
      </c>
    </row>
    <row r="815" spans="1:36" s="3" customFormat="1" ht="48" x14ac:dyDescent="0.25">
      <c r="A815" s="17" t="s">
        <v>2765</v>
      </c>
      <c r="B815" s="18" t="s">
        <v>37</v>
      </c>
      <c r="C815" s="19" t="s">
        <v>687</v>
      </c>
      <c r="D815" s="45" t="s">
        <v>3523</v>
      </c>
      <c r="E815" s="50" t="s">
        <v>3815</v>
      </c>
      <c r="F815" s="58" t="s">
        <v>43</v>
      </c>
      <c r="G815" s="51">
        <v>509883.74</v>
      </c>
      <c r="H815" s="51">
        <v>0</v>
      </c>
      <c r="I815" s="50" t="s">
        <v>1018</v>
      </c>
      <c r="J815" s="58" t="s">
        <v>3816</v>
      </c>
      <c r="K815" s="52" t="s">
        <v>1246</v>
      </c>
      <c r="L815" s="59">
        <v>41619</v>
      </c>
      <c r="M815" s="60">
        <f>L815+180</f>
        <v>41799</v>
      </c>
      <c r="N815" s="51">
        <v>502235.49</v>
      </c>
      <c r="O815" s="59">
        <v>43238</v>
      </c>
      <c r="P815" s="59"/>
      <c r="Q815" s="51"/>
      <c r="R815" s="51">
        <f>N815+Q815</f>
        <v>502235.49</v>
      </c>
      <c r="S815" s="51"/>
      <c r="T815" s="52" t="s">
        <v>3933</v>
      </c>
      <c r="U815" s="51" t="s">
        <v>200</v>
      </c>
      <c r="V815" s="51">
        <v>0</v>
      </c>
      <c r="W815" s="51">
        <v>0</v>
      </c>
      <c r="X815" s="51">
        <v>282359.40000000002</v>
      </c>
      <c r="Y815" s="19" t="s">
        <v>503</v>
      </c>
      <c r="Z815" s="19"/>
      <c r="AA815" s="28" t="s">
        <v>8475</v>
      </c>
      <c r="AB815" s="56">
        <v>43411</v>
      </c>
      <c r="AC815" s="28" t="s">
        <v>7725</v>
      </c>
      <c r="AD815" s="28" t="s">
        <v>7726</v>
      </c>
      <c r="AE815" s="54" t="s">
        <v>7727</v>
      </c>
      <c r="AF815" s="54"/>
      <c r="AG815" s="54" t="s">
        <v>7728</v>
      </c>
      <c r="AH815" s="53" t="s">
        <v>1591</v>
      </c>
      <c r="AI815" s="53" t="s">
        <v>2686</v>
      </c>
      <c r="AJ815" s="53" t="s">
        <v>1591</v>
      </c>
    </row>
    <row r="816" spans="1:36" s="3" customFormat="1" ht="24" x14ac:dyDescent="0.25">
      <c r="A816" s="17" t="s">
        <v>2765</v>
      </c>
      <c r="B816" s="18" t="s">
        <v>37</v>
      </c>
      <c r="C816" s="19" t="s">
        <v>55</v>
      </c>
      <c r="D816" s="45" t="s">
        <v>3526</v>
      </c>
      <c r="E816" s="50" t="s">
        <v>3821</v>
      </c>
      <c r="F816" s="58" t="s">
        <v>677</v>
      </c>
      <c r="G816" s="51">
        <v>408000</v>
      </c>
      <c r="H816" s="51">
        <v>0</v>
      </c>
      <c r="I816" s="50" t="s">
        <v>1241</v>
      </c>
      <c r="J816" s="58" t="s">
        <v>3814</v>
      </c>
      <c r="K816" s="52" t="s">
        <v>1242</v>
      </c>
      <c r="L816" s="59">
        <v>41857</v>
      </c>
      <c r="M816" s="60">
        <f>L816+180</f>
        <v>42037</v>
      </c>
      <c r="N816" s="51">
        <v>407594.42</v>
      </c>
      <c r="O816" s="59">
        <v>42906</v>
      </c>
      <c r="P816" s="59"/>
      <c r="Q816" s="51"/>
      <c r="R816" s="51">
        <f>N816+Q816</f>
        <v>407594.42</v>
      </c>
      <c r="S816" s="51"/>
      <c r="T816" s="52" t="s">
        <v>3933</v>
      </c>
      <c r="U816" s="51">
        <v>0</v>
      </c>
      <c r="V816" s="51">
        <v>0</v>
      </c>
      <c r="W816" s="51">
        <v>0</v>
      </c>
      <c r="X816" s="51">
        <v>197460.48000000001</v>
      </c>
      <c r="Y816" s="19" t="s">
        <v>157</v>
      </c>
      <c r="Z816" s="19"/>
      <c r="AA816" s="28" t="s">
        <v>8475</v>
      </c>
      <c r="AB816" s="56">
        <v>43411</v>
      </c>
      <c r="AC816" s="28" t="s">
        <v>7725</v>
      </c>
      <c r="AD816" s="28" t="s">
        <v>7726</v>
      </c>
      <c r="AE816" s="54" t="s">
        <v>7732</v>
      </c>
      <c r="AF816" s="54"/>
      <c r="AG816" s="54" t="s">
        <v>7733</v>
      </c>
      <c r="AH816" s="53" t="s">
        <v>1591</v>
      </c>
      <c r="AI816" s="53" t="s">
        <v>2686</v>
      </c>
      <c r="AJ816" s="53" t="s">
        <v>1591</v>
      </c>
    </row>
    <row r="817" spans="1:36" s="3" customFormat="1" ht="24" x14ac:dyDescent="0.25">
      <c r="A817" s="17" t="s">
        <v>2765</v>
      </c>
      <c r="B817" s="18" t="s">
        <v>37</v>
      </c>
      <c r="C817" s="19" t="s">
        <v>85</v>
      </c>
      <c r="D817" s="45" t="s">
        <v>3525</v>
      </c>
      <c r="E817" s="50" t="s">
        <v>3820</v>
      </c>
      <c r="F817" s="58" t="s">
        <v>677</v>
      </c>
      <c r="G817" s="51">
        <v>408000</v>
      </c>
      <c r="H817" s="51">
        <v>0</v>
      </c>
      <c r="I817" s="50" t="s">
        <v>1241</v>
      </c>
      <c r="J817" s="58" t="s">
        <v>3814</v>
      </c>
      <c r="K817" s="52" t="s">
        <v>1244</v>
      </c>
      <c r="L817" s="59">
        <v>41857</v>
      </c>
      <c r="M817" s="60">
        <f>L817+240</f>
        <v>42097</v>
      </c>
      <c r="N817" s="51">
        <v>407594.42</v>
      </c>
      <c r="O817" s="59">
        <v>42906</v>
      </c>
      <c r="P817" s="59"/>
      <c r="Q817" s="51"/>
      <c r="R817" s="51">
        <f>N817+Q817</f>
        <v>407594.42</v>
      </c>
      <c r="S817" s="51"/>
      <c r="T817" s="52" t="s">
        <v>3933</v>
      </c>
      <c r="U817" s="51">
        <v>0</v>
      </c>
      <c r="V817" s="51">
        <v>0</v>
      </c>
      <c r="W817" s="51">
        <v>0</v>
      </c>
      <c r="X817" s="51">
        <v>232875.55</v>
      </c>
      <c r="Y817" s="19" t="s">
        <v>157</v>
      </c>
      <c r="Z817" s="19"/>
      <c r="AA817" s="28" t="s">
        <v>8475</v>
      </c>
      <c r="AB817" s="56">
        <v>43411</v>
      </c>
      <c r="AC817" s="28" t="s">
        <v>7725</v>
      </c>
      <c r="AD817" s="28" t="s">
        <v>7726</v>
      </c>
      <c r="AE817" s="54" t="s">
        <v>7732</v>
      </c>
      <c r="AF817" s="54"/>
      <c r="AG817" s="54" t="s">
        <v>7733</v>
      </c>
      <c r="AH817" s="53" t="s">
        <v>1591</v>
      </c>
      <c r="AI817" s="53" t="s">
        <v>2686</v>
      </c>
      <c r="AJ817" s="53" t="s">
        <v>1591</v>
      </c>
    </row>
    <row r="818" spans="1:36" s="3" customFormat="1" ht="48" x14ac:dyDescent="0.25">
      <c r="A818" s="17" t="s">
        <v>1239</v>
      </c>
      <c r="B818" s="18" t="s">
        <v>37</v>
      </c>
      <c r="C818" s="76" t="s">
        <v>5062</v>
      </c>
      <c r="D818" s="77" t="s">
        <v>5063</v>
      </c>
      <c r="E818" s="78" t="s">
        <v>5064</v>
      </c>
      <c r="F818" s="79" t="s">
        <v>43</v>
      </c>
      <c r="G818" s="80">
        <v>1433842.64</v>
      </c>
      <c r="H818" s="80">
        <v>52546.43</v>
      </c>
      <c r="I818" s="78" t="s">
        <v>1241</v>
      </c>
      <c r="J818" s="79" t="s">
        <v>5059</v>
      </c>
      <c r="K818" s="81" t="s">
        <v>1185</v>
      </c>
      <c r="L818" s="82">
        <v>41866</v>
      </c>
      <c r="M818" s="83">
        <v>42136</v>
      </c>
      <c r="N818" s="80">
        <v>309566.96000000002</v>
      </c>
      <c r="O818" s="82"/>
      <c r="P818" s="84" t="s">
        <v>4527</v>
      </c>
      <c r="Q818" s="80">
        <v>0</v>
      </c>
      <c r="R818" s="80">
        <v>309566.96000000002</v>
      </c>
      <c r="S818" s="80"/>
      <c r="T818" s="81" t="s">
        <v>52</v>
      </c>
      <c r="U818" s="80">
        <v>103543.29</v>
      </c>
      <c r="V818" s="80"/>
      <c r="W818" s="80"/>
      <c r="X818" s="80">
        <v>309566.96000000002</v>
      </c>
      <c r="Y818" s="76" t="s">
        <v>149</v>
      </c>
      <c r="Z818" s="19" t="s">
        <v>7038</v>
      </c>
      <c r="AA818" s="28" t="s">
        <v>8475</v>
      </c>
      <c r="AB818" s="56">
        <v>43411</v>
      </c>
      <c r="AC818" s="28" t="s">
        <v>7725</v>
      </c>
      <c r="AD818" s="28" t="s">
        <v>7726</v>
      </c>
      <c r="AE818" s="54" t="s">
        <v>7727</v>
      </c>
      <c r="AF818" s="54"/>
      <c r="AG818" s="54" t="s">
        <v>7728</v>
      </c>
      <c r="AH818" s="53" t="s">
        <v>1591</v>
      </c>
      <c r="AI818" s="53" t="s">
        <v>2686</v>
      </c>
      <c r="AJ818" s="53" t="s">
        <v>1591</v>
      </c>
    </row>
    <row r="819" spans="1:36" s="3" customFormat="1" ht="36" x14ac:dyDescent="0.25">
      <c r="A819" s="17" t="s">
        <v>1239</v>
      </c>
      <c r="B819" s="18" t="s">
        <v>37</v>
      </c>
      <c r="C819" s="76" t="s">
        <v>1254</v>
      </c>
      <c r="D819" s="45" t="s">
        <v>5065</v>
      </c>
      <c r="E819" s="78"/>
      <c r="F819" s="79"/>
      <c r="G819" s="80"/>
      <c r="H819" s="80"/>
      <c r="I819" s="78" t="s">
        <v>1255</v>
      </c>
      <c r="J819" s="79" t="s">
        <v>5066</v>
      </c>
      <c r="K819" s="81" t="s">
        <v>917</v>
      </c>
      <c r="L819" s="82">
        <v>42479</v>
      </c>
      <c r="M819" s="83">
        <v>42749</v>
      </c>
      <c r="N819" s="80">
        <v>264224.49</v>
      </c>
      <c r="O819" s="82"/>
      <c r="P819" s="84"/>
      <c r="Q819" s="80">
        <v>0</v>
      </c>
      <c r="R819" s="80">
        <v>264224.49</v>
      </c>
      <c r="S819" s="80"/>
      <c r="T819" s="81" t="s">
        <v>52</v>
      </c>
      <c r="U819" s="80">
        <v>35274.32</v>
      </c>
      <c r="V819" s="80"/>
      <c r="W819" s="80"/>
      <c r="X819" s="80">
        <v>35274.32</v>
      </c>
      <c r="Y819" s="76" t="s">
        <v>175</v>
      </c>
      <c r="Z819" s="19" t="s">
        <v>7038</v>
      </c>
      <c r="AA819" s="28" t="s">
        <v>8475</v>
      </c>
      <c r="AB819" s="56">
        <v>43411</v>
      </c>
      <c r="AC819" s="28" t="s">
        <v>7725</v>
      </c>
      <c r="AD819" s="28" t="s">
        <v>7726</v>
      </c>
      <c r="AE819" s="54" t="s">
        <v>7729</v>
      </c>
      <c r="AF819" s="54"/>
      <c r="AG819" s="54" t="s">
        <v>7730</v>
      </c>
      <c r="AH819" s="53" t="s">
        <v>1591</v>
      </c>
      <c r="AI819" s="53" t="s">
        <v>2686</v>
      </c>
      <c r="AJ819" s="53" t="s">
        <v>1591</v>
      </c>
    </row>
    <row r="820" spans="1:36" s="3" customFormat="1" ht="60" x14ac:dyDescent="0.25">
      <c r="A820" s="17" t="s">
        <v>1256</v>
      </c>
      <c r="B820" s="18" t="s">
        <v>125</v>
      </c>
      <c r="C820" s="19" t="s">
        <v>3529</v>
      </c>
      <c r="D820" s="45" t="s">
        <v>3530</v>
      </c>
      <c r="E820" s="50"/>
      <c r="F820" s="58"/>
      <c r="G820" s="51"/>
      <c r="H820" s="51"/>
      <c r="I820" s="50" t="s">
        <v>3824</v>
      </c>
      <c r="J820" s="58" t="s">
        <v>3825</v>
      </c>
      <c r="K820" s="52" t="s">
        <v>2900</v>
      </c>
      <c r="L820" s="59">
        <v>42978</v>
      </c>
      <c r="M820" s="60">
        <f>L820+90</f>
        <v>43068</v>
      </c>
      <c r="N820" s="51">
        <v>110398.38</v>
      </c>
      <c r="O820" s="59">
        <v>43027</v>
      </c>
      <c r="P820" s="59">
        <v>0</v>
      </c>
      <c r="Q820" s="51"/>
      <c r="R820" s="51">
        <f>N820+Q820</f>
        <v>110398.38</v>
      </c>
      <c r="S820" s="51"/>
      <c r="T820" s="52" t="s">
        <v>3928</v>
      </c>
      <c r="U820" s="51">
        <v>110398.38</v>
      </c>
      <c r="V820" s="51"/>
      <c r="W820" s="51"/>
      <c r="X820" s="51"/>
      <c r="Y820" s="19" t="s">
        <v>149</v>
      </c>
      <c r="Z820" s="19"/>
      <c r="AA820" s="28" t="s">
        <v>7734</v>
      </c>
      <c r="AB820" s="56">
        <v>43413</v>
      </c>
      <c r="AC820" s="28" t="s">
        <v>7735</v>
      </c>
      <c r="AD820" s="28" t="s">
        <v>7736</v>
      </c>
      <c r="AE820" s="54" t="s">
        <v>7737</v>
      </c>
      <c r="AF820" s="54"/>
      <c r="AG820" s="54" t="s">
        <v>7738</v>
      </c>
      <c r="AH820" s="53" t="s">
        <v>1591</v>
      </c>
      <c r="AI820" s="53" t="s">
        <v>2686</v>
      </c>
      <c r="AJ820" s="53" t="s">
        <v>1591</v>
      </c>
    </row>
    <row r="821" spans="1:36" s="3" customFormat="1" ht="36" x14ac:dyDescent="0.25">
      <c r="A821" s="17" t="s">
        <v>1256</v>
      </c>
      <c r="B821" s="18" t="s">
        <v>37</v>
      </c>
      <c r="C821" s="76" t="s">
        <v>1005</v>
      </c>
      <c r="D821" s="45" t="s">
        <v>5067</v>
      </c>
      <c r="E821" s="78">
        <v>2013</v>
      </c>
      <c r="F821" s="79" t="s">
        <v>661</v>
      </c>
      <c r="G821" s="80">
        <v>674995.53</v>
      </c>
      <c r="H821" s="80">
        <v>94434.47</v>
      </c>
      <c r="I821" s="78" t="s">
        <v>5068</v>
      </c>
      <c r="J821" s="79" t="s">
        <v>5069</v>
      </c>
      <c r="K821" s="81" t="s">
        <v>5070</v>
      </c>
      <c r="L821" s="82">
        <v>41708</v>
      </c>
      <c r="M821" s="83">
        <v>41858</v>
      </c>
      <c r="N821" s="80">
        <v>769430</v>
      </c>
      <c r="O821" s="82">
        <v>41739</v>
      </c>
      <c r="P821" s="84">
        <v>42592</v>
      </c>
      <c r="Q821" s="80">
        <v>0</v>
      </c>
      <c r="R821" s="80">
        <v>769430</v>
      </c>
      <c r="S821" s="80" t="s">
        <v>46</v>
      </c>
      <c r="T821" s="81" t="s">
        <v>52</v>
      </c>
      <c r="U821" s="80">
        <v>454438.13</v>
      </c>
      <c r="V821" s="80"/>
      <c r="W821" s="80"/>
      <c r="X821" s="80">
        <v>521591.2</v>
      </c>
      <c r="Y821" s="76" t="s">
        <v>142</v>
      </c>
      <c r="Z821" s="19" t="s">
        <v>7038</v>
      </c>
      <c r="AA821" s="28" t="s">
        <v>7734</v>
      </c>
      <c r="AB821" s="56">
        <v>43413</v>
      </c>
      <c r="AC821" s="28" t="s">
        <v>7735</v>
      </c>
      <c r="AD821" s="28" t="s">
        <v>7736</v>
      </c>
      <c r="AE821" s="54"/>
      <c r="AF821" s="54"/>
      <c r="AG821" s="54"/>
      <c r="AH821" s="53"/>
      <c r="AI821" s="53" t="s">
        <v>1591</v>
      </c>
      <c r="AJ821" s="53" t="s">
        <v>1591</v>
      </c>
    </row>
    <row r="822" spans="1:36" s="3" customFormat="1" ht="36" x14ac:dyDescent="0.25">
      <c r="A822" s="17" t="s">
        <v>1256</v>
      </c>
      <c r="B822" s="18" t="s">
        <v>37</v>
      </c>
      <c r="C822" s="76" t="s">
        <v>1020</v>
      </c>
      <c r="D822" s="45" t="s">
        <v>5071</v>
      </c>
      <c r="E822" s="78" t="s">
        <v>46</v>
      </c>
      <c r="F822" s="79" t="s">
        <v>46</v>
      </c>
      <c r="G822" s="80" t="s">
        <v>46</v>
      </c>
      <c r="H822" s="80" t="s">
        <v>46</v>
      </c>
      <c r="I822" s="78" t="s">
        <v>5072</v>
      </c>
      <c r="J822" s="79" t="s">
        <v>5073</v>
      </c>
      <c r="K822" s="81" t="s">
        <v>5070</v>
      </c>
      <c r="L822" s="82">
        <v>41821</v>
      </c>
      <c r="M822" s="83">
        <v>42181</v>
      </c>
      <c r="N822" s="80">
        <v>549773.73</v>
      </c>
      <c r="O822" s="82">
        <v>42186</v>
      </c>
      <c r="P822" s="84" t="s">
        <v>46</v>
      </c>
      <c r="Q822" s="80">
        <v>0</v>
      </c>
      <c r="R822" s="80">
        <v>549773.73</v>
      </c>
      <c r="S822" s="80" t="s">
        <v>46</v>
      </c>
      <c r="T822" s="81" t="s">
        <v>52</v>
      </c>
      <c r="U822" s="80">
        <v>383751.49</v>
      </c>
      <c r="V822" s="80"/>
      <c r="W822" s="80"/>
      <c r="X822" s="80">
        <v>383751.49</v>
      </c>
      <c r="Y822" s="76" t="s">
        <v>5074</v>
      </c>
      <c r="Z822" s="19" t="s">
        <v>7038</v>
      </c>
      <c r="AA822" s="28" t="s">
        <v>7734</v>
      </c>
      <c r="AB822" s="56">
        <v>43413</v>
      </c>
      <c r="AC822" s="28" t="s">
        <v>7735</v>
      </c>
      <c r="AD822" s="28" t="s">
        <v>7736</v>
      </c>
      <c r="AE822" s="54"/>
      <c r="AF822" s="54"/>
      <c r="AG822" s="54"/>
      <c r="AH822" s="53"/>
      <c r="AI822" s="53" t="s">
        <v>1591</v>
      </c>
      <c r="AJ822" s="53" t="s">
        <v>1591</v>
      </c>
    </row>
    <row r="823" spans="1:36" s="3" customFormat="1" ht="36" x14ac:dyDescent="0.25">
      <c r="A823" s="17" t="s">
        <v>1256</v>
      </c>
      <c r="B823" s="18" t="s">
        <v>37</v>
      </c>
      <c r="C823" s="76" t="s">
        <v>5075</v>
      </c>
      <c r="D823" s="45" t="s">
        <v>5076</v>
      </c>
      <c r="E823" s="78">
        <v>2014</v>
      </c>
      <c r="F823" s="79" t="s">
        <v>661</v>
      </c>
      <c r="G823" s="80">
        <v>443419.61</v>
      </c>
      <c r="H823" s="80" t="s">
        <v>46</v>
      </c>
      <c r="I823" s="78" t="s">
        <v>5077</v>
      </c>
      <c r="J823" s="79" t="s">
        <v>5078</v>
      </c>
      <c r="K823" s="81" t="s">
        <v>5070</v>
      </c>
      <c r="L823" s="82">
        <v>41883</v>
      </c>
      <c r="M823" s="83">
        <v>42003</v>
      </c>
      <c r="N823" s="80">
        <v>440171.66</v>
      </c>
      <c r="O823" s="82">
        <v>42005</v>
      </c>
      <c r="P823" s="84" t="s">
        <v>46</v>
      </c>
      <c r="Q823" s="80">
        <v>0</v>
      </c>
      <c r="R823" s="80">
        <v>440171.66</v>
      </c>
      <c r="S823" s="80" t="s">
        <v>46</v>
      </c>
      <c r="T823" s="81" t="s">
        <v>52</v>
      </c>
      <c r="U823" s="80">
        <v>108602.19</v>
      </c>
      <c r="V823" s="80"/>
      <c r="W823" s="80"/>
      <c r="X823" s="80">
        <v>108602.19</v>
      </c>
      <c r="Y823" s="76" t="s">
        <v>175</v>
      </c>
      <c r="Z823" s="19" t="s">
        <v>7038</v>
      </c>
      <c r="AA823" s="28" t="s">
        <v>7734</v>
      </c>
      <c r="AB823" s="56">
        <v>43413</v>
      </c>
      <c r="AC823" s="28" t="s">
        <v>7735</v>
      </c>
      <c r="AD823" s="28" t="s">
        <v>7736</v>
      </c>
      <c r="AE823" s="54"/>
      <c r="AF823" s="54"/>
      <c r="AG823" s="54"/>
      <c r="AH823" s="53"/>
      <c r="AI823" s="53" t="s">
        <v>1591</v>
      </c>
      <c r="AJ823" s="53" t="s">
        <v>1591</v>
      </c>
    </row>
    <row r="824" spans="1:36" s="3" customFormat="1" ht="36" x14ac:dyDescent="0.25">
      <c r="A824" s="17" t="s">
        <v>1256</v>
      </c>
      <c r="B824" s="18" t="s">
        <v>37</v>
      </c>
      <c r="C824" s="76" t="s">
        <v>1258</v>
      </c>
      <c r="D824" s="45" t="s">
        <v>5079</v>
      </c>
      <c r="E824" s="78">
        <v>2013</v>
      </c>
      <c r="F824" s="79" t="s">
        <v>661</v>
      </c>
      <c r="G824" s="80">
        <v>325072.21000000002</v>
      </c>
      <c r="H824" s="80" t="s">
        <v>46</v>
      </c>
      <c r="I824" s="78" t="s">
        <v>5077</v>
      </c>
      <c r="J824" s="79" t="s">
        <v>5078</v>
      </c>
      <c r="K824" s="81" t="s">
        <v>5070</v>
      </c>
      <c r="L824" s="82">
        <v>41645</v>
      </c>
      <c r="M824" s="83">
        <v>41765</v>
      </c>
      <c r="N824" s="80">
        <v>325072.2</v>
      </c>
      <c r="O824" s="82">
        <v>41765</v>
      </c>
      <c r="P824" s="84">
        <v>42587</v>
      </c>
      <c r="Q824" s="80">
        <v>0</v>
      </c>
      <c r="R824" s="80">
        <v>325072.2</v>
      </c>
      <c r="S824" s="80" t="s">
        <v>46</v>
      </c>
      <c r="T824" s="81" t="s">
        <v>52</v>
      </c>
      <c r="U824" s="80">
        <v>204055.95</v>
      </c>
      <c r="V824" s="80"/>
      <c r="W824" s="80"/>
      <c r="X824" s="80">
        <v>224179.91</v>
      </c>
      <c r="Y824" s="76" t="s">
        <v>142</v>
      </c>
      <c r="Z824" s="19" t="s">
        <v>7038</v>
      </c>
      <c r="AA824" s="28" t="s">
        <v>7734</v>
      </c>
      <c r="AB824" s="56">
        <v>43413</v>
      </c>
      <c r="AC824" s="28" t="s">
        <v>7735</v>
      </c>
      <c r="AD824" s="28" t="s">
        <v>7736</v>
      </c>
      <c r="AE824" s="54"/>
      <c r="AF824" s="54"/>
      <c r="AG824" s="54"/>
      <c r="AH824" s="53"/>
      <c r="AI824" s="53" t="s">
        <v>1591</v>
      </c>
      <c r="AJ824" s="53" t="s">
        <v>1591</v>
      </c>
    </row>
    <row r="825" spans="1:36" s="3" customFormat="1" ht="36" x14ac:dyDescent="0.25">
      <c r="A825" s="17" t="s">
        <v>1256</v>
      </c>
      <c r="B825" s="18" t="s">
        <v>37</v>
      </c>
      <c r="C825" s="76" t="s">
        <v>5080</v>
      </c>
      <c r="D825" s="45" t="s">
        <v>5081</v>
      </c>
      <c r="E825" s="78">
        <v>2016</v>
      </c>
      <c r="F825" s="79"/>
      <c r="G825" s="80"/>
      <c r="H825" s="80"/>
      <c r="I825" s="78" t="s">
        <v>5082</v>
      </c>
      <c r="J825" s="79" t="s">
        <v>5083</v>
      </c>
      <c r="K825" s="81" t="s">
        <v>5084</v>
      </c>
      <c r="L825" s="82">
        <v>42464</v>
      </c>
      <c r="M825" s="83">
        <v>42524</v>
      </c>
      <c r="N825" s="80">
        <v>132942.29999999999</v>
      </c>
      <c r="O825" s="82">
        <v>42506</v>
      </c>
      <c r="P825" s="84"/>
      <c r="Q825" s="80">
        <v>0</v>
      </c>
      <c r="R825" s="80">
        <v>132942.29999999999</v>
      </c>
      <c r="S825" s="80"/>
      <c r="T825" s="81" t="s">
        <v>52</v>
      </c>
      <c r="U825" s="80"/>
      <c r="V825" s="80"/>
      <c r="W825" s="80"/>
      <c r="X825" s="80"/>
      <c r="Y825" s="76" t="s">
        <v>175</v>
      </c>
      <c r="Z825" s="19" t="s">
        <v>7038</v>
      </c>
      <c r="AA825" s="28" t="s">
        <v>7734</v>
      </c>
      <c r="AB825" s="56">
        <v>43413</v>
      </c>
      <c r="AC825" s="28" t="s">
        <v>7735</v>
      </c>
      <c r="AD825" s="28" t="s">
        <v>7736</v>
      </c>
      <c r="AE825" s="54"/>
      <c r="AF825" s="54"/>
      <c r="AG825" s="54"/>
      <c r="AH825" s="53"/>
      <c r="AI825" s="53" t="s">
        <v>1591</v>
      </c>
      <c r="AJ825" s="53" t="s">
        <v>1591</v>
      </c>
    </row>
    <row r="826" spans="1:36" s="3" customFormat="1" ht="48" x14ac:dyDescent="0.25">
      <c r="A826" s="17" t="s">
        <v>1260</v>
      </c>
      <c r="B826" s="18" t="s">
        <v>37</v>
      </c>
      <c r="C826" s="19" t="s">
        <v>1262</v>
      </c>
      <c r="D826" s="45" t="s">
        <v>1263</v>
      </c>
      <c r="E826" s="50" t="s">
        <v>1264</v>
      </c>
      <c r="F826" s="58" t="s">
        <v>3826</v>
      </c>
      <c r="G826" s="51">
        <v>1550000</v>
      </c>
      <c r="H826" s="51">
        <v>85000</v>
      </c>
      <c r="I826" s="50" t="s">
        <v>1261</v>
      </c>
      <c r="J826" s="58" t="s">
        <v>1265</v>
      </c>
      <c r="K826" s="52" t="s">
        <v>1266</v>
      </c>
      <c r="L826" s="59">
        <v>41078</v>
      </c>
      <c r="M826" s="60">
        <f>L826+180</f>
        <v>41258</v>
      </c>
      <c r="N826" s="51">
        <v>1624235.32</v>
      </c>
      <c r="O826" s="59" t="s">
        <v>46</v>
      </c>
      <c r="P826" s="59">
        <f>M826+1640</f>
        <v>42898</v>
      </c>
      <c r="Q826" s="51"/>
      <c r="R826" s="51">
        <f>N826+Q826</f>
        <v>1624235.32</v>
      </c>
      <c r="S826" s="51"/>
      <c r="T826" s="52" t="s">
        <v>52</v>
      </c>
      <c r="U826" s="51">
        <v>0</v>
      </c>
      <c r="V826" s="51">
        <v>0</v>
      </c>
      <c r="W826" s="51">
        <v>0</v>
      </c>
      <c r="X826" s="51">
        <v>1144933.1100000001</v>
      </c>
      <c r="Y826" s="19" t="s">
        <v>186</v>
      </c>
      <c r="Z826" s="19"/>
      <c r="AA826" s="28"/>
      <c r="AB826" s="56"/>
      <c r="AC826" s="28"/>
      <c r="AD826" s="28"/>
      <c r="AE826" s="54"/>
      <c r="AF826" s="54"/>
      <c r="AG826" s="54"/>
      <c r="AH826" s="53"/>
      <c r="AI826" s="53" t="s">
        <v>1591</v>
      </c>
      <c r="AJ826" s="53" t="s">
        <v>1591</v>
      </c>
    </row>
    <row r="827" spans="1:36" s="3" customFormat="1" ht="48" x14ac:dyDescent="0.25">
      <c r="A827" s="17" t="s">
        <v>1260</v>
      </c>
      <c r="B827" s="18" t="s">
        <v>37</v>
      </c>
      <c r="C827" s="19" t="s">
        <v>1268</v>
      </c>
      <c r="D827" s="45" t="s">
        <v>1269</v>
      </c>
      <c r="E827" s="50" t="s">
        <v>1270</v>
      </c>
      <c r="F827" s="58" t="s">
        <v>3826</v>
      </c>
      <c r="G827" s="51">
        <v>1433670</v>
      </c>
      <c r="H827" s="51">
        <v>0</v>
      </c>
      <c r="I827" s="50" t="s">
        <v>1261</v>
      </c>
      <c r="J827" s="58" t="s">
        <v>1265</v>
      </c>
      <c r="K827" s="52" t="s">
        <v>1271</v>
      </c>
      <c r="L827" s="59">
        <v>41204</v>
      </c>
      <c r="M827" s="60">
        <f>L827+180</f>
        <v>41384</v>
      </c>
      <c r="N827" s="51">
        <v>1426499.46</v>
      </c>
      <c r="O827" s="59" t="s">
        <v>46</v>
      </c>
      <c r="P827" s="59">
        <f>M827+1620</f>
        <v>43004</v>
      </c>
      <c r="Q827" s="51"/>
      <c r="R827" s="51">
        <f>N827+Q827</f>
        <v>1426499.46</v>
      </c>
      <c r="S827" s="51"/>
      <c r="T827" s="52" t="s">
        <v>52</v>
      </c>
      <c r="U827" s="51">
        <v>0</v>
      </c>
      <c r="V827" s="51">
        <v>0</v>
      </c>
      <c r="W827" s="51">
        <v>0</v>
      </c>
      <c r="X827" s="51">
        <v>1003011.02</v>
      </c>
      <c r="Y827" s="19" t="s">
        <v>186</v>
      </c>
      <c r="Z827" s="19"/>
      <c r="AA827" s="28"/>
      <c r="AB827" s="56"/>
      <c r="AC827" s="28"/>
      <c r="AD827" s="28"/>
      <c r="AE827" s="54"/>
      <c r="AF827" s="54"/>
      <c r="AG827" s="54"/>
      <c r="AH827" s="53"/>
      <c r="AI827" s="53" t="s">
        <v>1591</v>
      </c>
      <c r="AJ827" s="53" t="s">
        <v>1591</v>
      </c>
    </row>
    <row r="828" spans="1:36" s="3" customFormat="1" ht="36" x14ac:dyDescent="0.25">
      <c r="A828" s="17" t="s">
        <v>1260</v>
      </c>
      <c r="B828" s="18" t="s">
        <v>37</v>
      </c>
      <c r="C828" s="76" t="s">
        <v>5085</v>
      </c>
      <c r="D828" s="45" t="s">
        <v>5086</v>
      </c>
      <c r="E828" s="78" t="s">
        <v>46</v>
      </c>
      <c r="F828" s="79" t="s">
        <v>46</v>
      </c>
      <c r="G828" s="80" t="s">
        <v>46</v>
      </c>
      <c r="H828" s="80" t="s">
        <v>46</v>
      </c>
      <c r="I828" s="78" t="s">
        <v>1277</v>
      </c>
      <c r="J828" s="79" t="s">
        <v>1273</v>
      </c>
      <c r="K828" s="81" t="s">
        <v>5087</v>
      </c>
      <c r="L828" s="82">
        <v>42131</v>
      </c>
      <c r="M828" s="83">
        <v>42497</v>
      </c>
      <c r="N828" s="80">
        <v>1168318.06</v>
      </c>
      <c r="O828" s="82" t="s">
        <v>46</v>
      </c>
      <c r="P828" s="84" t="s">
        <v>250</v>
      </c>
      <c r="Q828" s="80">
        <v>0</v>
      </c>
      <c r="R828" s="80">
        <v>1168318.06</v>
      </c>
      <c r="S828" s="80"/>
      <c r="T828" s="81" t="s">
        <v>52</v>
      </c>
      <c r="U828" s="80">
        <v>89870.62</v>
      </c>
      <c r="V828" s="80"/>
      <c r="W828" s="80"/>
      <c r="X828" s="80">
        <v>89870.62</v>
      </c>
      <c r="Y828" s="76" t="s">
        <v>186</v>
      </c>
      <c r="Z828" s="19" t="s">
        <v>7038</v>
      </c>
      <c r="AA828" s="28"/>
      <c r="AB828" s="56"/>
      <c r="AC828" s="28"/>
      <c r="AD828" s="28"/>
      <c r="AE828" s="54"/>
      <c r="AF828" s="54"/>
      <c r="AG828" s="54"/>
      <c r="AH828" s="53"/>
      <c r="AI828" s="53" t="s">
        <v>1591</v>
      </c>
      <c r="AJ828" s="53" t="s">
        <v>1591</v>
      </c>
    </row>
    <row r="829" spans="1:36" s="3" customFormat="1" ht="60" x14ac:dyDescent="0.25">
      <c r="A829" s="17" t="s">
        <v>1260</v>
      </c>
      <c r="B829" s="18" t="s">
        <v>37</v>
      </c>
      <c r="C829" s="19" t="s">
        <v>1275</v>
      </c>
      <c r="D829" s="45" t="s">
        <v>1276</v>
      </c>
      <c r="E829" s="50"/>
      <c r="F829" s="58" t="s">
        <v>1004</v>
      </c>
      <c r="G829" s="51"/>
      <c r="H829" s="51"/>
      <c r="I829" s="50" t="s">
        <v>1277</v>
      </c>
      <c r="J829" s="58" t="s">
        <v>1273</v>
      </c>
      <c r="K829" s="52" t="s">
        <v>1278</v>
      </c>
      <c r="L829" s="59">
        <v>42195</v>
      </c>
      <c r="M829" s="60">
        <f>L829+180</f>
        <v>42375</v>
      </c>
      <c r="N829" s="51">
        <v>989980.73</v>
      </c>
      <c r="O829" s="59" t="s">
        <v>46</v>
      </c>
      <c r="P829" s="59">
        <f>M829+1080</f>
        <v>43455</v>
      </c>
      <c r="Q829" s="51"/>
      <c r="R829" s="51">
        <f t="shared" ref="R829:R835" si="34">N829+Q829</f>
        <v>989980.73</v>
      </c>
      <c r="S829" s="51"/>
      <c r="T829" s="52" t="s">
        <v>52</v>
      </c>
      <c r="U829" s="51">
        <v>10966.39</v>
      </c>
      <c r="V829" s="51">
        <v>10966.39</v>
      </c>
      <c r="W829" s="51">
        <v>10966.39</v>
      </c>
      <c r="X829" s="51">
        <v>884146.38</v>
      </c>
      <c r="Y829" s="19" t="s">
        <v>186</v>
      </c>
      <c r="Z829" s="19"/>
      <c r="AA829" s="28"/>
      <c r="AB829" s="56"/>
      <c r="AC829" s="28"/>
      <c r="AD829" s="28"/>
      <c r="AE829" s="54"/>
      <c r="AF829" s="54"/>
      <c r="AG829" s="54"/>
      <c r="AH829" s="53"/>
      <c r="AI829" s="53" t="s">
        <v>1591</v>
      </c>
      <c r="AJ829" s="53" t="s">
        <v>1591</v>
      </c>
    </row>
    <row r="830" spans="1:36" s="3" customFormat="1" ht="24" x14ac:dyDescent="0.25">
      <c r="A830" s="35" t="s">
        <v>1260</v>
      </c>
      <c r="B830" s="18" t="s">
        <v>37</v>
      </c>
      <c r="C830" s="19" t="s">
        <v>1280</v>
      </c>
      <c r="D830" s="43" t="s">
        <v>1281</v>
      </c>
      <c r="E830" s="50" t="s">
        <v>1282</v>
      </c>
      <c r="F830" s="36" t="s">
        <v>3826</v>
      </c>
      <c r="G830" s="51">
        <v>500000</v>
      </c>
      <c r="H830" s="51">
        <v>10547.98</v>
      </c>
      <c r="I830" s="36" t="s">
        <v>962</v>
      </c>
      <c r="J830" s="34" t="s">
        <v>1267</v>
      </c>
      <c r="K830" s="37" t="s">
        <v>1283</v>
      </c>
      <c r="L830" s="38">
        <v>42391</v>
      </c>
      <c r="M830" s="39">
        <f>L830+366</f>
        <v>42757</v>
      </c>
      <c r="N830" s="42">
        <v>507892.35</v>
      </c>
      <c r="O830" s="74" t="s">
        <v>46</v>
      </c>
      <c r="P830" s="39">
        <f>M830+366</f>
        <v>43123</v>
      </c>
      <c r="Q830" s="41"/>
      <c r="R830" s="51">
        <f t="shared" si="34"/>
        <v>507892.35</v>
      </c>
      <c r="S830" s="51"/>
      <c r="T830" s="52" t="s">
        <v>52</v>
      </c>
      <c r="U830" s="51">
        <v>5197.4399999999996</v>
      </c>
      <c r="V830" s="51">
        <v>5197.4399999999996</v>
      </c>
      <c r="W830" s="42">
        <v>5197.4399999999996</v>
      </c>
      <c r="X830" s="42">
        <v>5197.4399999999996</v>
      </c>
      <c r="Y830" s="34" t="s">
        <v>186</v>
      </c>
      <c r="Z830" s="34"/>
      <c r="AA830" s="28"/>
      <c r="AB830" s="56"/>
      <c r="AC830" s="28"/>
      <c r="AD830" s="28"/>
      <c r="AE830" s="54"/>
      <c r="AF830" s="54"/>
      <c r="AG830" s="54"/>
      <c r="AH830" s="53"/>
      <c r="AI830" s="53" t="s">
        <v>1591</v>
      </c>
      <c r="AJ830" s="53" t="s">
        <v>1591</v>
      </c>
    </row>
    <row r="831" spans="1:36" s="3" customFormat="1" ht="60" x14ac:dyDescent="0.25">
      <c r="A831" s="35" t="s">
        <v>1260</v>
      </c>
      <c r="B831" s="18" t="s">
        <v>37</v>
      </c>
      <c r="C831" s="19" t="s">
        <v>3535</v>
      </c>
      <c r="D831" s="43" t="s">
        <v>3536</v>
      </c>
      <c r="E831" s="50" t="s">
        <v>46</v>
      </c>
      <c r="F831" s="36" t="s">
        <v>46</v>
      </c>
      <c r="G831" s="51" t="s">
        <v>46</v>
      </c>
      <c r="H831" s="51" t="s">
        <v>46</v>
      </c>
      <c r="I831" s="36" t="s">
        <v>962</v>
      </c>
      <c r="J831" s="34" t="s">
        <v>3827</v>
      </c>
      <c r="K831" s="37" t="s">
        <v>3287</v>
      </c>
      <c r="L831" s="38">
        <v>42859</v>
      </c>
      <c r="M831" s="39">
        <f>L831+365</f>
        <v>43224</v>
      </c>
      <c r="N831" s="42">
        <v>340620</v>
      </c>
      <c r="O831" s="74" t="s">
        <v>46</v>
      </c>
      <c r="P831" s="39">
        <v>0</v>
      </c>
      <c r="Q831" s="41"/>
      <c r="R831" s="51">
        <f t="shared" si="34"/>
        <v>340620</v>
      </c>
      <c r="S831" s="51"/>
      <c r="T831" s="52" t="s">
        <v>52</v>
      </c>
      <c r="U831" s="51">
        <v>23843.4</v>
      </c>
      <c r="V831" s="51">
        <v>23843.4</v>
      </c>
      <c r="W831" s="42">
        <v>23843.4</v>
      </c>
      <c r="X831" s="42">
        <v>23843.4</v>
      </c>
      <c r="Y831" s="34" t="s">
        <v>186</v>
      </c>
      <c r="Z831" s="34"/>
      <c r="AA831" s="28"/>
      <c r="AB831" s="56"/>
      <c r="AC831" s="28"/>
      <c r="AD831" s="28"/>
      <c r="AE831" s="54"/>
      <c r="AF831" s="54"/>
      <c r="AG831" s="54"/>
      <c r="AH831" s="53"/>
      <c r="AI831" s="53" t="s">
        <v>1591</v>
      </c>
      <c r="AJ831" s="53" t="s">
        <v>1591</v>
      </c>
    </row>
    <row r="832" spans="1:36" s="3" customFormat="1" ht="48" x14ac:dyDescent="0.25">
      <c r="A832" s="17" t="s">
        <v>1260</v>
      </c>
      <c r="B832" s="18" t="s">
        <v>37</v>
      </c>
      <c r="C832" s="19" t="s">
        <v>1284</v>
      </c>
      <c r="D832" s="45" t="s">
        <v>1285</v>
      </c>
      <c r="E832" s="50" t="s">
        <v>46</v>
      </c>
      <c r="F832" s="58" t="s">
        <v>46</v>
      </c>
      <c r="G832" s="51" t="s">
        <v>46</v>
      </c>
      <c r="H832" s="51" t="s">
        <v>46</v>
      </c>
      <c r="I832" s="50" t="s">
        <v>962</v>
      </c>
      <c r="J832" s="58" t="s">
        <v>1267</v>
      </c>
      <c r="K832" s="52" t="s">
        <v>1286</v>
      </c>
      <c r="L832" s="59">
        <v>42557</v>
      </c>
      <c r="M832" s="60">
        <f>L832+180</f>
        <v>42737</v>
      </c>
      <c r="N832" s="51">
        <v>255537.3</v>
      </c>
      <c r="O832" s="59" t="s">
        <v>46</v>
      </c>
      <c r="P832" s="59">
        <v>0</v>
      </c>
      <c r="Q832" s="51"/>
      <c r="R832" s="51">
        <f t="shared" si="34"/>
        <v>255537.3</v>
      </c>
      <c r="S832" s="51"/>
      <c r="T832" s="52" t="s">
        <v>52</v>
      </c>
      <c r="U832" s="51">
        <v>0</v>
      </c>
      <c r="V832" s="51">
        <v>0</v>
      </c>
      <c r="W832" s="51">
        <v>0</v>
      </c>
      <c r="X832" s="51">
        <v>0</v>
      </c>
      <c r="Y832" s="19" t="s">
        <v>3934</v>
      </c>
      <c r="Z832" s="19"/>
      <c r="AA832" s="28"/>
      <c r="AB832" s="56"/>
      <c r="AC832" s="28"/>
      <c r="AD832" s="28"/>
      <c r="AE832" s="54"/>
      <c r="AF832" s="54"/>
      <c r="AG832" s="54"/>
      <c r="AH832" s="53"/>
      <c r="AI832" s="53" t="s">
        <v>1591</v>
      </c>
      <c r="AJ832" s="53" t="s">
        <v>1591</v>
      </c>
    </row>
    <row r="833" spans="1:36" s="3" customFormat="1" ht="48" x14ac:dyDescent="0.25">
      <c r="A833" s="17" t="s">
        <v>1260</v>
      </c>
      <c r="B833" s="18" t="s">
        <v>37</v>
      </c>
      <c r="C833" s="19" t="s">
        <v>3533</v>
      </c>
      <c r="D833" s="45" t="s">
        <v>3534</v>
      </c>
      <c r="E833" s="50" t="s">
        <v>46</v>
      </c>
      <c r="F833" s="58" t="s">
        <v>46</v>
      </c>
      <c r="G833" s="51" t="s">
        <v>46</v>
      </c>
      <c r="H833" s="51" t="s">
        <v>46</v>
      </c>
      <c r="I833" s="50" t="s">
        <v>1277</v>
      </c>
      <c r="J833" s="58" t="s">
        <v>1273</v>
      </c>
      <c r="K833" s="52" t="s">
        <v>3828</v>
      </c>
      <c r="L833" s="59">
        <v>42849</v>
      </c>
      <c r="M833" s="60">
        <f>L833+180</f>
        <v>43029</v>
      </c>
      <c r="N833" s="51">
        <v>250747.24</v>
      </c>
      <c r="O833" s="59" t="s">
        <v>46</v>
      </c>
      <c r="P833" s="59">
        <v>0</v>
      </c>
      <c r="Q833" s="51"/>
      <c r="R833" s="51">
        <f t="shared" si="34"/>
        <v>250747.24</v>
      </c>
      <c r="S833" s="51"/>
      <c r="T833" s="52" t="s">
        <v>52</v>
      </c>
      <c r="U833" s="51">
        <v>0</v>
      </c>
      <c r="V833" s="51">
        <v>0</v>
      </c>
      <c r="W833" s="51">
        <v>0</v>
      </c>
      <c r="X833" s="51">
        <v>0</v>
      </c>
      <c r="Y833" s="19" t="s">
        <v>3934</v>
      </c>
      <c r="Z833" s="19"/>
      <c r="AA833" s="28"/>
      <c r="AB833" s="56"/>
      <c r="AC833" s="28"/>
      <c r="AD833" s="28"/>
      <c r="AE833" s="54"/>
      <c r="AF833" s="54"/>
      <c r="AG833" s="54"/>
      <c r="AH833" s="53"/>
      <c r="AI833" s="53" t="s">
        <v>1591</v>
      </c>
      <c r="AJ833" s="53" t="s">
        <v>1591</v>
      </c>
    </row>
    <row r="834" spans="1:36" s="3" customFormat="1" ht="48" x14ac:dyDescent="0.25">
      <c r="A834" s="35" t="s">
        <v>1260</v>
      </c>
      <c r="B834" s="18" t="s">
        <v>37</v>
      </c>
      <c r="C834" s="19" t="s">
        <v>3531</v>
      </c>
      <c r="D834" s="43" t="s">
        <v>3532</v>
      </c>
      <c r="E834" s="50" t="s">
        <v>46</v>
      </c>
      <c r="F834" s="36" t="s">
        <v>46</v>
      </c>
      <c r="G834" s="51" t="s">
        <v>46</v>
      </c>
      <c r="H834" s="51" t="s">
        <v>46</v>
      </c>
      <c r="I834" s="36" t="s">
        <v>962</v>
      </c>
      <c r="J834" s="34" t="s">
        <v>3827</v>
      </c>
      <c r="K834" s="37" t="s">
        <v>3123</v>
      </c>
      <c r="L834" s="38">
        <v>42803</v>
      </c>
      <c r="M834" s="39">
        <f>L834+297</f>
        <v>43100</v>
      </c>
      <c r="N834" s="42">
        <v>133075.37</v>
      </c>
      <c r="O834" s="74" t="s">
        <v>46</v>
      </c>
      <c r="P834" s="39">
        <v>0</v>
      </c>
      <c r="Q834" s="41"/>
      <c r="R834" s="51">
        <f t="shared" si="34"/>
        <v>133075.37</v>
      </c>
      <c r="S834" s="51"/>
      <c r="T834" s="52" t="s">
        <v>52</v>
      </c>
      <c r="U834" s="51">
        <v>11295.12</v>
      </c>
      <c r="V834" s="51">
        <v>11295.12</v>
      </c>
      <c r="W834" s="42">
        <v>11295.12</v>
      </c>
      <c r="X834" s="42">
        <v>11295.12</v>
      </c>
      <c r="Y834" s="34" t="s">
        <v>3934</v>
      </c>
      <c r="Z834" s="34"/>
      <c r="AA834" s="28"/>
      <c r="AB834" s="56"/>
      <c r="AC834" s="28"/>
      <c r="AD834" s="28"/>
      <c r="AE834" s="54"/>
      <c r="AF834" s="54"/>
      <c r="AG834" s="54"/>
      <c r="AH834" s="53"/>
      <c r="AI834" s="53" t="s">
        <v>1591</v>
      </c>
      <c r="AJ834" s="53" t="s">
        <v>1591</v>
      </c>
    </row>
    <row r="835" spans="1:36" s="3" customFormat="1" ht="36" x14ac:dyDescent="0.25">
      <c r="A835" s="17" t="s">
        <v>1260</v>
      </c>
      <c r="B835" s="18" t="s">
        <v>37</v>
      </c>
      <c r="C835" s="19" t="s">
        <v>46</v>
      </c>
      <c r="D835" s="45" t="s">
        <v>1287</v>
      </c>
      <c r="E835" s="50" t="s">
        <v>46</v>
      </c>
      <c r="F835" s="58" t="s">
        <v>46</v>
      </c>
      <c r="G835" s="51" t="s">
        <v>46</v>
      </c>
      <c r="H835" s="51" t="s">
        <v>46</v>
      </c>
      <c r="I835" s="50" t="s">
        <v>1277</v>
      </c>
      <c r="J835" s="58" t="s">
        <v>1273</v>
      </c>
      <c r="K835" s="52" t="s">
        <v>1288</v>
      </c>
      <c r="L835" s="59">
        <v>42586</v>
      </c>
      <c r="M835" s="60">
        <f>L835+60</f>
        <v>42646</v>
      </c>
      <c r="N835" s="51">
        <v>12406.38</v>
      </c>
      <c r="O835" s="59" t="s">
        <v>46</v>
      </c>
      <c r="P835" s="59">
        <v>0</v>
      </c>
      <c r="Q835" s="51"/>
      <c r="R835" s="51">
        <f t="shared" si="34"/>
        <v>12406.38</v>
      </c>
      <c r="S835" s="51"/>
      <c r="T835" s="52" t="s">
        <v>52</v>
      </c>
      <c r="U835" s="51">
        <v>0</v>
      </c>
      <c r="V835" s="51">
        <v>0</v>
      </c>
      <c r="W835" s="51">
        <v>0</v>
      </c>
      <c r="X835" s="51">
        <v>0</v>
      </c>
      <c r="Y835" s="19" t="s">
        <v>3934</v>
      </c>
      <c r="Z835" s="19"/>
      <c r="AA835" s="28"/>
      <c r="AB835" s="56"/>
      <c r="AC835" s="28"/>
      <c r="AD835" s="28"/>
      <c r="AE835" s="54"/>
      <c r="AF835" s="54"/>
      <c r="AG835" s="54"/>
      <c r="AH835" s="53"/>
      <c r="AI835" s="53" t="s">
        <v>1591</v>
      </c>
      <c r="AJ835" s="53" t="s">
        <v>1591</v>
      </c>
    </row>
    <row r="836" spans="1:36" s="3" customFormat="1" ht="84" x14ac:dyDescent="0.25">
      <c r="A836" s="17" t="s">
        <v>1289</v>
      </c>
      <c r="B836" s="18" t="s">
        <v>37</v>
      </c>
      <c r="C836" s="76" t="s">
        <v>5092</v>
      </c>
      <c r="D836" s="45" t="s">
        <v>5093</v>
      </c>
      <c r="E836" s="78" t="s">
        <v>1294</v>
      </c>
      <c r="F836" s="79" t="s">
        <v>5094</v>
      </c>
      <c r="G836" s="80"/>
      <c r="H836" s="80"/>
      <c r="I836" s="78" t="s">
        <v>1292</v>
      </c>
      <c r="J836" s="79" t="s">
        <v>5095</v>
      </c>
      <c r="K836" s="81" t="s">
        <v>1294</v>
      </c>
      <c r="L836" s="82">
        <v>42170</v>
      </c>
      <c r="M836" s="83">
        <v>42350</v>
      </c>
      <c r="N836" s="80">
        <v>440337.73</v>
      </c>
      <c r="O836" s="82"/>
      <c r="P836" s="84" t="s">
        <v>5091</v>
      </c>
      <c r="Q836" s="80">
        <v>0</v>
      </c>
      <c r="R836" s="80">
        <v>440337.73</v>
      </c>
      <c r="S836" s="80"/>
      <c r="T836" s="81" t="s">
        <v>895</v>
      </c>
      <c r="U836" s="80"/>
      <c r="V836" s="80"/>
      <c r="W836" s="80"/>
      <c r="X836" s="80">
        <v>89236.29</v>
      </c>
      <c r="Y836" s="76" t="s">
        <v>175</v>
      </c>
      <c r="Z836" s="19" t="s">
        <v>7038</v>
      </c>
      <c r="AA836" s="28" t="s">
        <v>8456</v>
      </c>
      <c r="AB836" s="56">
        <v>43417</v>
      </c>
      <c r="AC836" s="28" t="s">
        <v>7607</v>
      </c>
      <c r="AD836" s="28" t="s">
        <v>7739</v>
      </c>
      <c r="AE836" s="54" t="s">
        <v>7740</v>
      </c>
      <c r="AF836" s="54"/>
      <c r="AG836" s="54" t="s">
        <v>7741</v>
      </c>
      <c r="AH836" s="53" t="s">
        <v>1591</v>
      </c>
      <c r="AI836" s="53" t="s">
        <v>2686</v>
      </c>
      <c r="AJ836" s="53" t="s">
        <v>1591</v>
      </c>
    </row>
    <row r="837" spans="1:36" s="3" customFormat="1" ht="84" x14ac:dyDescent="0.25">
      <c r="A837" s="35" t="s">
        <v>1289</v>
      </c>
      <c r="B837" s="18" t="s">
        <v>37</v>
      </c>
      <c r="C837" s="19" t="s">
        <v>3537</v>
      </c>
      <c r="D837" s="43" t="s">
        <v>3538</v>
      </c>
      <c r="E837" s="50" t="s">
        <v>3829</v>
      </c>
      <c r="F837" s="36" t="s">
        <v>43</v>
      </c>
      <c r="G837" s="51">
        <v>184886.74</v>
      </c>
      <c r="H837" s="51">
        <v>67034.320000000007</v>
      </c>
      <c r="I837" s="36" t="s">
        <v>3830</v>
      </c>
      <c r="J837" s="34" t="s">
        <v>3831</v>
      </c>
      <c r="K837" s="37"/>
      <c r="L837" s="38">
        <v>42213</v>
      </c>
      <c r="M837" s="39">
        <f>L837+180</f>
        <v>42393</v>
      </c>
      <c r="N837" s="42">
        <v>251921.06</v>
      </c>
      <c r="O837" s="74" t="s">
        <v>3915</v>
      </c>
      <c r="P837" s="39">
        <f>M837+180</f>
        <v>42573</v>
      </c>
      <c r="Q837" s="41"/>
      <c r="R837" s="51">
        <f>N837+Q837</f>
        <v>251921.06</v>
      </c>
      <c r="S837" s="51" t="s">
        <v>46</v>
      </c>
      <c r="T837" s="52" t="s">
        <v>907</v>
      </c>
      <c r="U837" s="51" t="s">
        <v>3935</v>
      </c>
      <c r="V837" s="51" t="s">
        <v>3935</v>
      </c>
      <c r="W837" s="42">
        <v>49306.85</v>
      </c>
      <c r="X837" s="42">
        <v>49306.85</v>
      </c>
      <c r="Y837" s="34" t="s">
        <v>3936</v>
      </c>
      <c r="Z837" s="34"/>
      <c r="AA837" s="28" t="s">
        <v>8456</v>
      </c>
      <c r="AB837" s="56">
        <v>43417</v>
      </c>
      <c r="AC837" s="28" t="s">
        <v>7607</v>
      </c>
      <c r="AD837" s="28" t="s">
        <v>7739</v>
      </c>
      <c r="AE837" s="54" t="s">
        <v>7740</v>
      </c>
      <c r="AF837" s="54"/>
      <c r="AG837" s="54" t="s">
        <v>7742</v>
      </c>
      <c r="AH837" s="53" t="s">
        <v>1591</v>
      </c>
      <c r="AI837" s="53" t="s">
        <v>2686</v>
      </c>
      <c r="AJ837" s="53" t="s">
        <v>1591</v>
      </c>
    </row>
    <row r="838" spans="1:36" s="3" customFormat="1" ht="60" x14ac:dyDescent="0.25">
      <c r="A838" s="35" t="s">
        <v>2718</v>
      </c>
      <c r="B838" s="18" t="s">
        <v>37</v>
      </c>
      <c r="C838" s="76"/>
      <c r="D838" s="43" t="s">
        <v>5098</v>
      </c>
      <c r="E838" s="78"/>
      <c r="F838" s="36" t="s">
        <v>5099</v>
      </c>
      <c r="G838" s="80"/>
      <c r="H838" s="80"/>
      <c r="I838" s="36" t="s">
        <v>5100</v>
      </c>
      <c r="J838" s="34" t="s">
        <v>5101</v>
      </c>
      <c r="K838" s="37" t="s">
        <v>1331</v>
      </c>
      <c r="L838" s="38">
        <v>41107</v>
      </c>
      <c r="M838" s="39">
        <v>41347</v>
      </c>
      <c r="N838" s="42">
        <v>511455.75</v>
      </c>
      <c r="O838" s="85" t="s">
        <v>5102</v>
      </c>
      <c r="P838" s="86"/>
      <c r="Q838" s="41"/>
      <c r="R838" s="41">
        <v>511455.75</v>
      </c>
      <c r="S838" s="80"/>
      <c r="T838" s="81"/>
      <c r="U838" s="80"/>
      <c r="V838" s="80"/>
      <c r="W838" s="42"/>
      <c r="X838" s="42">
        <v>251772.25</v>
      </c>
      <c r="Y838" s="34" t="s">
        <v>4321</v>
      </c>
      <c r="Z838" s="19" t="s">
        <v>7038</v>
      </c>
      <c r="AA838" s="28" t="s">
        <v>7062</v>
      </c>
      <c r="AB838" s="56">
        <v>43425</v>
      </c>
      <c r="AC838" s="28" t="s">
        <v>7743</v>
      </c>
      <c r="AD838" s="28" t="s">
        <v>7744</v>
      </c>
      <c r="AE838" s="54" t="s">
        <v>7745</v>
      </c>
      <c r="AF838" s="54"/>
      <c r="AG838" s="54" t="s">
        <v>7746</v>
      </c>
      <c r="AH838" s="53" t="s">
        <v>1591</v>
      </c>
      <c r="AI838" s="53" t="s">
        <v>2686</v>
      </c>
      <c r="AJ838" s="53" t="s">
        <v>1591</v>
      </c>
    </row>
    <row r="839" spans="1:36" s="3" customFormat="1" ht="156" x14ac:dyDescent="0.25">
      <c r="A839" s="17" t="s">
        <v>1297</v>
      </c>
      <c r="B839" s="18" t="s">
        <v>37</v>
      </c>
      <c r="C839" s="19" t="s">
        <v>3543</v>
      </c>
      <c r="D839" s="45" t="s">
        <v>3544</v>
      </c>
      <c r="E839" s="50" t="s">
        <v>1248</v>
      </c>
      <c r="F839" s="58" t="s">
        <v>43</v>
      </c>
      <c r="G839" s="51">
        <v>508365.51</v>
      </c>
      <c r="H839" s="51"/>
      <c r="I839" s="50" t="s">
        <v>2872</v>
      </c>
      <c r="J839" s="58" t="s">
        <v>2934</v>
      </c>
      <c r="K839" s="52" t="s">
        <v>1014</v>
      </c>
      <c r="L839" s="59">
        <v>41894</v>
      </c>
      <c r="M839" s="60">
        <f>L839+180</f>
        <v>42074</v>
      </c>
      <c r="N839" s="51">
        <v>508365.51</v>
      </c>
      <c r="O839" s="59">
        <v>42735</v>
      </c>
      <c r="P839" s="59">
        <f>M839+870</f>
        <v>42944</v>
      </c>
      <c r="Q839" s="51"/>
      <c r="R839" s="51">
        <f t="shared" ref="R839:R843" si="35">N839+Q839</f>
        <v>508365.51</v>
      </c>
      <c r="S839" s="51"/>
      <c r="T839" s="52">
        <v>449051</v>
      </c>
      <c r="U839" s="51">
        <v>0</v>
      </c>
      <c r="V839" s="51">
        <v>0</v>
      </c>
      <c r="W839" s="51">
        <v>0</v>
      </c>
      <c r="X839" s="51">
        <v>329988.81</v>
      </c>
      <c r="Y839" s="19" t="s">
        <v>175</v>
      </c>
      <c r="Z839" s="19"/>
      <c r="AA839" s="28" t="s">
        <v>7747</v>
      </c>
      <c r="AB839" s="56">
        <v>43430</v>
      </c>
      <c r="AC839" s="28" t="s">
        <v>7748</v>
      </c>
      <c r="AD839" s="28" t="s">
        <v>7749</v>
      </c>
      <c r="AE839" s="54" t="s">
        <v>7750</v>
      </c>
      <c r="AF839" s="54"/>
      <c r="AG839" s="54" t="s">
        <v>7751</v>
      </c>
      <c r="AH839" s="53" t="s">
        <v>1591</v>
      </c>
      <c r="AI839" s="53" t="s">
        <v>2686</v>
      </c>
      <c r="AJ839" s="53" t="s">
        <v>1591</v>
      </c>
    </row>
    <row r="840" spans="1:36" s="3" customFormat="1" ht="60" x14ac:dyDescent="0.25">
      <c r="A840" s="17" t="s">
        <v>1297</v>
      </c>
      <c r="B840" s="18" t="s">
        <v>37</v>
      </c>
      <c r="C840" s="19" t="s">
        <v>3541</v>
      </c>
      <c r="D840" s="45" t="s">
        <v>3542</v>
      </c>
      <c r="E840" s="50" t="s">
        <v>3834</v>
      </c>
      <c r="F840" s="58" t="s">
        <v>112</v>
      </c>
      <c r="G840" s="51">
        <v>431786.55</v>
      </c>
      <c r="H840" s="51">
        <v>2022.73</v>
      </c>
      <c r="I840" s="50" t="s">
        <v>1225</v>
      </c>
      <c r="J840" s="58" t="s">
        <v>3833</v>
      </c>
      <c r="K840" s="52" t="s">
        <v>1788</v>
      </c>
      <c r="L840" s="59">
        <v>42368</v>
      </c>
      <c r="M840" s="60">
        <f>L840+180</f>
        <v>42548</v>
      </c>
      <c r="N840" s="51">
        <v>433809.28</v>
      </c>
      <c r="O840" s="59">
        <v>43097</v>
      </c>
      <c r="P840" s="59">
        <f>M840+540</f>
        <v>43088</v>
      </c>
      <c r="Q840" s="51"/>
      <c r="R840" s="51">
        <f t="shared" si="35"/>
        <v>433809.28</v>
      </c>
      <c r="S840" s="51"/>
      <c r="T840" s="52">
        <v>449051</v>
      </c>
      <c r="U840" s="51">
        <v>44228.09</v>
      </c>
      <c r="V840" s="51">
        <v>44228.09</v>
      </c>
      <c r="W840" s="51">
        <v>44228.09</v>
      </c>
      <c r="X840" s="51">
        <v>244019.67</v>
      </c>
      <c r="Y840" s="19" t="s">
        <v>175</v>
      </c>
      <c r="Z840" s="19"/>
      <c r="AA840" s="28" t="s">
        <v>7747</v>
      </c>
      <c r="AB840" s="56">
        <v>43430</v>
      </c>
      <c r="AC840" s="28" t="s">
        <v>7748</v>
      </c>
      <c r="AD840" s="28" t="s">
        <v>7749</v>
      </c>
      <c r="AE840" s="54" t="s">
        <v>7752</v>
      </c>
      <c r="AF840" s="54"/>
      <c r="AG840" s="54" t="s">
        <v>885</v>
      </c>
      <c r="AH840" s="53" t="s">
        <v>1591</v>
      </c>
      <c r="AI840" s="53" t="s">
        <v>2686</v>
      </c>
      <c r="AJ840" s="53" t="s">
        <v>1591</v>
      </c>
    </row>
    <row r="841" spans="1:36" s="3" customFormat="1" ht="96" x14ac:dyDescent="0.25">
      <c r="A841" s="17" t="s">
        <v>1297</v>
      </c>
      <c r="B841" s="18" t="s">
        <v>37</v>
      </c>
      <c r="C841" s="19" t="s">
        <v>3545</v>
      </c>
      <c r="D841" s="45" t="s">
        <v>3546</v>
      </c>
      <c r="E841" s="50" t="s">
        <v>180</v>
      </c>
      <c r="F841" s="58" t="s">
        <v>1468</v>
      </c>
      <c r="G841" s="51"/>
      <c r="H841" s="51"/>
      <c r="I841" s="50" t="s">
        <v>3835</v>
      </c>
      <c r="J841" s="58" t="s">
        <v>3836</v>
      </c>
      <c r="K841" s="52" t="s">
        <v>2894</v>
      </c>
      <c r="L841" s="59">
        <v>42912</v>
      </c>
      <c r="M841" s="60">
        <f>L841+240</f>
        <v>43152</v>
      </c>
      <c r="N841" s="51">
        <v>337301.08</v>
      </c>
      <c r="O841" s="59">
        <v>43157</v>
      </c>
      <c r="P841" s="59">
        <v>0</v>
      </c>
      <c r="Q841" s="51"/>
      <c r="R841" s="51">
        <f t="shared" si="35"/>
        <v>337301.08</v>
      </c>
      <c r="S841" s="51"/>
      <c r="T841" s="52">
        <v>449051</v>
      </c>
      <c r="U841" s="51">
        <v>12478.31</v>
      </c>
      <c r="V841" s="51">
        <v>12478.31</v>
      </c>
      <c r="W841" s="51">
        <v>12478.31</v>
      </c>
      <c r="X841" s="51">
        <v>12478.31</v>
      </c>
      <c r="Y841" s="19" t="s">
        <v>175</v>
      </c>
      <c r="Z841" s="19"/>
      <c r="AA841" s="28" t="s">
        <v>7747</v>
      </c>
      <c r="AB841" s="56">
        <v>43430</v>
      </c>
      <c r="AC841" s="28" t="s">
        <v>7748</v>
      </c>
      <c r="AD841" s="28" t="s">
        <v>7749</v>
      </c>
      <c r="AE841" s="54" t="s">
        <v>7753</v>
      </c>
      <c r="AF841" s="54"/>
      <c r="AG841" s="54" t="s">
        <v>7754</v>
      </c>
      <c r="AH841" s="53" t="s">
        <v>1591</v>
      </c>
      <c r="AI841" s="53" t="s">
        <v>2686</v>
      </c>
      <c r="AJ841" s="53" t="s">
        <v>1591</v>
      </c>
    </row>
    <row r="842" spans="1:36" s="3" customFormat="1" ht="96" x14ac:dyDescent="0.25">
      <c r="A842" s="35" t="s">
        <v>1297</v>
      </c>
      <c r="B842" s="18" t="s">
        <v>37</v>
      </c>
      <c r="C842" s="19" t="s">
        <v>3539</v>
      </c>
      <c r="D842" s="43" t="s">
        <v>3540</v>
      </c>
      <c r="E842" s="50" t="s">
        <v>959</v>
      </c>
      <c r="F842" s="36" t="s">
        <v>43</v>
      </c>
      <c r="G842" s="51">
        <v>183239.3</v>
      </c>
      <c r="H842" s="51"/>
      <c r="I842" s="36" t="s">
        <v>2872</v>
      </c>
      <c r="J842" s="34" t="s">
        <v>3832</v>
      </c>
      <c r="K842" s="37" t="s">
        <v>581</v>
      </c>
      <c r="L842" s="38">
        <v>41880</v>
      </c>
      <c r="M842" s="39">
        <f>L842+120</f>
        <v>42000</v>
      </c>
      <c r="N842" s="42">
        <v>183239.3</v>
      </c>
      <c r="O842" s="74">
        <v>41974</v>
      </c>
      <c r="P842" s="39">
        <f>M842+840</f>
        <v>42840</v>
      </c>
      <c r="Q842" s="41"/>
      <c r="R842" s="51">
        <f t="shared" si="35"/>
        <v>183239.3</v>
      </c>
      <c r="S842" s="51"/>
      <c r="T842" s="52">
        <v>449051</v>
      </c>
      <c r="U842" s="51">
        <v>0</v>
      </c>
      <c r="V842" s="51">
        <v>0</v>
      </c>
      <c r="W842" s="42">
        <v>0</v>
      </c>
      <c r="X842" s="42">
        <v>93432.48</v>
      </c>
      <c r="Y842" s="34" t="s">
        <v>175</v>
      </c>
      <c r="Z842" s="34"/>
      <c r="AA842" s="28" t="s">
        <v>7747</v>
      </c>
      <c r="AB842" s="56">
        <v>43430</v>
      </c>
      <c r="AC842" s="28" t="s">
        <v>7748</v>
      </c>
      <c r="AD842" s="28" t="s">
        <v>7749</v>
      </c>
      <c r="AE842" s="54" t="s">
        <v>7755</v>
      </c>
      <c r="AF842" s="54"/>
      <c r="AG842" s="54" t="s">
        <v>7756</v>
      </c>
      <c r="AH842" s="53" t="s">
        <v>1591</v>
      </c>
      <c r="AI842" s="53" t="s">
        <v>2686</v>
      </c>
      <c r="AJ842" s="53" t="s">
        <v>1591</v>
      </c>
    </row>
    <row r="843" spans="1:36" s="3" customFormat="1" ht="60" x14ac:dyDescent="0.25">
      <c r="A843" s="17" t="s">
        <v>1298</v>
      </c>
      <c r="B843" s="18" t="s">
        <v>37</v>
      </c>
      <c r="C843" s="19" t="s">
        <v>3547</v>
      </c>
      <c r="D843" s="45" t="s">
        <v>3548</v>
      </c>
      <c r="E843" s="50" t="s">
        <v>3837</v>
      </c>
      <c r="F843" s="58" t="s">
        <v>3838</v>
      </c>
      <c r="G843" s="51">
        <v>1283348.93</v>
      </c>
      <c r="H843" s="51">
        <v>0</v>
      </c>
      <c r="I843" s="50" t="s">
        <v>1302</v>
      </c>
      <c r="J843" s="58" t="s">
        <v>3839</v>
      </c>
      <c r="K843" s="52" t="s">
        <v>3840</v>
      </c>
      <c r="L843" s="59">
        <v>41001</v>
      </c>
      <c r="M843" s="60">
        <f>L843+365</f>
        <v>41366</v>
      </c>
      <c r="N843" s="51">
        <v>1283348.93</v>
      </c>
      <c r="O843" s="59" t="s">
        <v>46</v>
      </c>
      <c r="P843" s="59">
        <v>43160</v>
      </c>
      <c r="Q843" s="51">
        <v>92418.53</v>
      </c>
      <c r="R843" s="51">
        <f t="shared" si="35"/>
        <v>1375767.46</v>
      </c>
      <c r="S843" s="51">
        <v>96538.4</v>
      </c>
      <c r="T843" s="52"/>
      <c r="U843" s="51">
        <v>1112836</v>
      </c>
      <c r="V843" s="51">
        <v>962996.8</v>
      </c>
      <c r="W843" s="51">
        <v>38531.49</v>
      </c>
      <c r="X843" s="51">
        <v>962996.8</v>
      </c>
      <c r="Y843" s="19" t="s">
        <v>175</v>
      </c>
      <c r="Z843" s="19"/>
      <c r="AA843" s="28" t="s">
        <v>7757</v>
      </c>
      <c r="AB843" s="56">
        <v>43425</v>
      </c>
      <c r="AC843" s="28" t="s">
        <v>7758</v>
      </c>
      <c r="AD843" s="28" t="s">
        <v>7759</v>
      </c>
      <c r="AE843" s="54" t="s">
        <v>7760</v>
      </c>
      <c r="AF843" s="54"/>
      <c r="AG843" s="54" t="s">
        <v>7761</v>
      </c>
      <c r="AH843" s="53" t="s">
        <v>1591</v>
      </c>
      <c r="AI843" s="53" t="s">
        <v>2686</v>
      </c>
      <c r="AJ843" s="53" t="s">
        <v>1591</v>
      </c>
    </row>
    <row r="844" spans="1:36" s="3" customFormat="1" ht="36" x14ac:dyDescent="0.25">
      <c r="A844" s="17" t="s">
        <v>1298</v>
      </c>
      <c r="B844" s="18" t="s">
        <v>37</v>
      </c>
      <c r="C844" s="76" t="s">
        <v>1305</v>
      </c>
      <c r="D844" s="77" t="s">
        <v>5105</v>
      </c>
      <c r="E844" s="78" t="s">
        <v>5106</v>
      </c>
      <c r="F844" s="79" t="s">
        <v>5104</v>
      </c>
      <c r="G844" s="80">
        <v>1017638.61</v>
      </c>
      <c r="H844" s="80" t="s">
        <v>46</v>
      </c>
      <c r="I844" s="78" t="s">
        <v>930</v>
      </c>
      <c r="J844" s="79" t="s">
        <v>5107</v>
      </c>
      <c r="K844" s="81" t="s">
        <v>5108</v>
      </c>
      <c r="L844" s="82"/>
      <c r="M844" s="83">
        <v>270</v>
      </c>
      <c r="N844" s="80">
        <v>1010000.13</v>
      </c>
      <c r="O844" s="82" t="s">
        <v>46</v>
      </c>
      <c r="P844" s="84" t="s">
        <v>46</v>
      </c>
      <c r="Q844" s="80">
        <v>0</v>
      </c>
      <c r="R844" s="80">
        <v>1010000.13</v>
      </c>
      <c r="S844" s="80" t="s">
        <v>46</v>
      </c>
      <c r="T844" s="81" t="s">
        <v>52</v>
      </c>
      <c r="U844" s="80"/>
      <c r="V844" s="80"/>
      <c r="W844" s="80"/>
      <c r="X844" s="80"/>
      <c r="Y844" s="76" t="s">
        <v>849</v>
      </c>
      <c r="Z844" s="19" t="s">
        <v>7038</v>
      </c>
      <c r="AA844" s="28" t="s">
        <v>7757</v>
      </c>
      <c r="AB844" s="56">
        <v>43425</v>
      </c>
      <c r="AC844" s="28" t="s">
        <v>7758</v>
      </c>
      <c r="AD844" s="28" t="s">
        <v>7759</v>
      </c>
      <c r="AE844" s="54" t="s">
        <v>7762</v>
      </c>
      <c r="AF844" s="54"/>
      <c r="AG844" s="54" t="s">
        <v>7763</v>
      </c>
      <c r="AH844" s="53" t="s">
        <v>1591</v>
      </c>
      <c r="AI844" s="53" t="s">
        <v>2686</v>
      </c>
      <c r="AJ844" s="53" t="s">
        <v>1591</v>
      </c>
    </row>
    <row r="845" spans="1:36" s="3" customFormat="1" ht="36" x14ac:dyDescent="0.25">
      <c r="A845" s="35" t="s">
        <v>1298</v>
      </c>
      <c r="B845" s="18" t="s">
        <v>37</v>
      </c>
      <c r="C845" s="76"/>
      <c r="D845" s="43" t="s">
        <v>5109</v>
      </c>
      <c r="E845" s="78"/>
      <c r="F845" s="36" t="s">
        <v>5110</v>
      </c>
      <c r="G845" s="80"/>
      <c r="H845" s="80"/>
      <c r="I845" s="36" t="s">
        <v>1301</v>
      </c>
      <c r="J845" s="34" t="s">
        <v>5111</v>
      </c>
      <c r="K845" s="37" t="s">
        <v>2514</v>
      </c>
      <c r="L845" s="38">
        <v>41029</v>
      </c>
      <c r="M845" s="39">
        <v>41299</v>
      </c>
      <c r="N845" s="42">
        <v>749847.55</v>
      </c>
      <c r="O845" s="85" t="s">
        <v>5112</v>
      </c>
      <c r="P845" s="86">
        <v>42319</v>
      </c>
      <c r="Q845" s="41">
        <v>187461.89</v>
      </c>
      <c r="R845" s="41">
        <v>937309.44000000006</v>
      </c>
      <c r="S845" s="80"/>
      <c r="T845" s="81"/>
      <c r="U845" s="80"/>
      <c r="V845" s="80"/>
      <c r="W845" s="42"/>
      <c r="X845" s="42">
        <v>173932.13</v>
      </c>
      <c r="Y845" s="34" t="s">
        <v>4321</v>
      </c>
      <c r="Z845" s="19" t="s">
        <v>7038</v>
      </c>
      <c r="AA845" s="28"/>
      <c r="AB845" s="56"/>
      <c r="AC845" s="28"/>
      <c r="AD845" s="28"/>
      <c r="AE845" s="54"/>
      <c r="AF845" s="54"/>
      <c r="AG845" s="54"/>
      <c r="AH845" s="53"/>
      <c r="AI845" s="53" t="s">
        <v>1591</v>
      </c>
      <c r="AJ845" s="53" t="s">
        <v>1591</v>
      </c>
    </row>
    <row r="846" spans="1:36" s="3" customFormat="1" ht="48" x14ac:dyDescent="0.25">
      <c r="A846" s="17" t="s">
        <v>1298</v>
      </c>
      <c r="B846" s="18" t="s">
        <v>37</v>
      </c>
      <c r="C846" s="19" t="s">
        <v>3549</v>
      </c>
      <c r="D846" s="45" t="s">
        <v>3550</v>
      </c>
      <c r="E846" s="50" t="s">
        <v>1099</v>
      </c>
      <c r="F846" s="58" t="s">
        <v>3841</v>
      </c>
      <c r="G846" s="51">
        <v>980465.02</v>
      </c>
      <c r="H846" s="51">
        <v>0</v>
      </c>
      <c r="I846" s="50" t="s">
        <v>333</v>
      </c>
      <c r="J846" s="58" t="s">
        <v>3842</v>
      </c>
      <c r="K846" s="52" t="s">
        <v>3843</v>
      </c>
      <c r="L846" s="59"/>
      <c r="M846" s="60"/>
      <c r="N846" s="51">
        <v>882364.87</v>
      </c>
      <c r="O846" s="59" t="s">
        <v>46</v>
      </c>
      <c r="P846" s="59">
        <v>0</v>
      </c>
      <c r="Q846" s="51"/>
      <c r="R846" s="51">
        <f>N846+Q846</f>
        <v>882364.87</v>
      </c>
      <c r="S846" s="51" t="s">
        <v>46</v>
      </c>
      <c r="T846" s="52" t="s">
        <v>46</v>
      </c>
      <c r="U846" s="51" t="s">
        <v>46</v>
      </c>
      <c r="V846" s="51" t="s">
        <v>46</v>
      </c>
      <c r="W846" s="51"/>
      <c r="X846" s="51"/>
      <c r="Y846" s="19" t="s">
        <v>849</v>
      </c>
      <c r="Z846" s="19"/>
      <c r="AA846" s="28" t="s">
        <v>7757</v>
      </c>
      <c r="AB846" s="56">
        <v>43425</v>
      </c>
      <c r="AC846" s="28" t="s">
        <v>7758</v>
      </c>
      <c r="AD846" s="28" t="s">
        <v>7759</v>
      </c>
      <c r="AE846" s="54" t="s">
        <v>7762</v>
      </c>
      <c r="AF846" s="54"/>
      <c r="AG846" s="54" t="s">
        <v>7764</v>
      </c>
      <c r="AH846" s="53" t="s">
        <v>1591</v>
      </c>
      <c r="AI846" s="53" t="s">
        <v>2686</v>
      </c>
      <c r="AJ846" s="53" t="s">
        <v>1591</v>
      </c>
    </row>
    <row r="847" spans="1:36" s="3" customFormat="1" ht="36" x14ac:dyDescent="0.25">
      <c r="A847" s="17" t="s">
        <v>1298</v>
      </c>
      <c r="B847" s="18" t="s">
        <v>37</v>
      </c>
      <c r="C847" s="19" t="s">
        <v>3554</v>
      </c>
      <c r="D847" s="45" t="s">
        <v>3555</v>
      </c>
      <c r="E847" s="50" t="s">
        <v>3844</v>
      </c>
      <c r="F847" s="58" t="s">
        <v>3845</v>
      </c>
      <c r="G847" s="51">
        <v>490000</v>
      </c>
      <c r="H847" s="51">
        <v>10000</v>
      </c>
      <c r="I847" s="50" t="s">
        <v>3846</v>
      </c>
      <c r="J847" s="58" t="s">
        <v>3847</v>
      </c>
      <c r="K847" s="52" t="s">
        <v>3848</v>
      </c>
      <c r="L847" s="59"/>
      <c r="M847" s="60"/>
      <c r="N847" s="51">
        <v>494216.7</v>
      </c>
      <c r="O847" s="59" t="s">
        <v>46</v>
      </c>
      <c r="P847" s="59">
        <v>0</v>
      </c>
      <c r="Q847" s="51"/>
      <c r="R847" s="51">
        <f>N847+Q847</f>
        <v>494216.7</v>
      </c>
      <c r="S847" s="51" t="s">
        <v>46</v>
      </c>
      <c r="T847" s="52"/>
      <c r="U847" s="51">
        <v>0</v>
      </c>
      <c r="V847" s="51">
        <v>0</v>
      </c>
      <c r="W847" s="51">
        <v>0</v>
      </c>
      <c r="X847" s="51">
        <v>0</v>
      </c>
      <c r="Y847" s="19" t="s">
        <v>849</v>
      </c>
      <c r="Z847" s="19"/>
      <c r="AA847" s="28" t="s">
        <v>7757</v>
      </c>
      <c r="AB847" s="56">
        <v>43425</v>
      </c>
      <c r="AC847" s="28" t="s">
        <v>7758</v>
      </c>
      <c r="AD847" s="28" t="s">
        <v>7759</v>
      </c>
      <c r="AE847" s="54" t="s">
        <v>7762</v>
      </c>
      <c r="AF847" s="54"/>
      <c r="AG847" s="54" t="s">
        <v>7765</v>
      </c>
      <c r="AH847" s="53" t="s">
        <v>1591</v>
      </c>
      <c r="AI847" s="53" t="s">
        <v>2686</v>
      </c>
      <c r="AJ847" s="53" t="s">
        <v>1591</v>
      </c>
    </row>
    <row r="848" spans="1:36" s="3" customFormat="1" ht="36" x14ac:dyDescent="0.25">
      <c r="A848" s="35" t="s">
        <v>1298</v>
      </c>
      <c r="B848" s="18" t="s">
        <v>37</v>
      </c>
      <c r="C848" s="76"/>
      <c r="D848" s="43" t="s">
        <v>5114</v>
      </c>
      <c r="E848" s="78"/>
      <c r="F848" s="36" t="s">
        <v>4744</v>
      </c>
      <c r="G848" s="80"/>
      <c r="H848" s="80"/>
      <c r="I848" s="36" t="s">
        <v>1979</v>
      </c>
      <c r="J848" s="34" t="s">
        <v>5115</v>
      </c>
      <c r="K848" s="37" t="s">
        <v>803</v>
      </c>
      <c r="L848" s="38">
        <v>41051</v>
      </c>
      <c r="M848" s="39">
        <v>41171</v>
      </c>
      <c r="N848" s="42">
        <v>409163.15</v>
      </c>
      <c r="O848" s="85" t="s">
        <v>5116</v>
      </c>
      <c r="P848" s="86">
        <v>42191</v>
      </c>
      <c r="Q848" s="41">
        <v>0</v>
      </c>
      <c r="R848" s="41">
        <v>409163.15</v>
      </c>
      <c r="S848" s="80"/>
      <c r="T848" s="81"/>
      <c r="U848" s="80"/>
      <c r="V848" s="80"/>
      <c r="W848" s="42"/>
      <c r="X848" s="42">
        <v>193449.39</v>
      </c>
      <c r="Y848" s="34" t="s">
        <v>4321</v>
      </c>
      <c r="Z848" s="19" t="s">
        <v>7038</v>
      </c>
      <c r="AA848" s="28" t="s">
        <v>7757</v>
      </c>
      <c r="AB848" s="56">
        <v>43425</v>
      </c>
      <c r="AC848" s="28" t="s">
        <v>7758</v>
      </c>
      <c r="AD848" s="28" t="s">
        <v>7759</v>
      </c>
      <c r="AE848" s="54" t="s">
        <v>7766</v>
      </c>
      <c r="AF848" s="54"/>
      <c r="AG848" s="54" t="s">
        <v>7767</v>
      </c>
      <c r="AH848" s="53" t="s">
        <v>1591</v>
      </c>
      <c r="AI848" s="53" t="s">
        <v>2686</v>
      </c>
      <c r="AJ848" s="53" t="s">
        <v>1591</v>
      </c>
    </row>
    <row r="849" spans="1:36" s="3" customFormat="1" ht="36" x14ac:dyDescent="0.25">
      <c r="A849" s="17" t="s">
        <v>1298</v>
      </c>
      <c r="B849" s="18" t="s">
        <v>37</v>
      </c>
      <c r="C849" s="19" t="s">
        <v>3556</v>
      </c>
      <c r="D849" s="45" t="s">
        <v>3557</v>
      </c>
      <c r="E849" s="50" t="s">
        <v>3849</v>
      </c>
      <c r="F849" s="58" t="s">
        <v>3845</v>
      </c>
      <c r="G849" s="51">
        <v>250000</v>
      </c>
      <c r="H849" s="51">
        <v>6000</v>
      </c>
      <c r="I849" s="50" t="s">
        <v>3846</v>
      </c>
      <c r="J849" s="58" t="s">
        <v>3847</v>
      </c>
      <c r="K849" s="52" t="s">
        <v>3850</v>
      </c>
      <c r="L849" s="59">
        <v>42969</v>
      </c>
      <c r="M849" s="60">
        <f>L849+365</f>
        <v>43334</v>
      </c>
      <c r="N849" s="51">
        <v>283071.08</v>
      </c>
      <c r="O849" s="59">
        <v>43040</v>
      </c>
      <c r="P849" s="59">
        <v>0</v>
      </c>
      <c r="Q849" s="51"/>
      <c r="R849" s="51">
        <f>N849+Q849</f>
        <v>283071.08</v>
      </c>
      <c r="S849" s="51" t="s">
        <v>46</v>
      </c>
      <c r="T849" s="52"/>
      <c r="U849" s="51">
        <v>0</v>
      </c>
      <c r="V849" s="51">
        <v>0</v>
      </c>
      <c r="W849" s="51">
        <v>0</v>
      </c>
      <c r="X849" s="51">
        <v>0</v>
      </c>
      <c r="Y849" s="19" t="s">
        <v>157</v>
      </c>
      <c r="Z849" s="19"/>
      <c r="AA849" s="28" t="s">
        <v>7757</v>
      </c>
      <c r="AB849" s="56">
        <v>43425</v>
      </c>
      <c r="AC849" s="28" t="s">
        <v>7758</v>
      </c>
      <c r="AD849" s="28" t="s">
        <v>7759</v>
      </c>
      <c r="AE849" s="54" t="s">
        <v>7762</v>
      </c>
      <c r="AF849" s="54"/>
      <c r="AG849" s="54" t="s">
        <v>7768</v>
      </c>
      <c r="AH849" s="53" t="s">
        <v>1591</v>
      </c>
      <c r="AI849" s="53" t="s">
        <v>2686</v>
      </c>
      <c r="AJ849" s="53" t="s">
        <v>1591</v>
      </c>
    </row>
    <row r="850" spans="1:36" s="3" customFormat="1" ht="36" x14ac:dyDescent="0.25">
      <c r="A850" s="17" t="s">
        <v>1298</v>
      </c>
      <c r="B850" s="18" t="s">
        <v>37</v>
      </c>
      <c r="C850" s="19" t="s">
        <v>3551</v>
      </c>
      <c r="D850" s="45" t="s">
        <v>3552</v>
      </c>
      <c r="E850" s="50" t="s">
        <v>1099</v>
      </c>
      <c r="F850" s="58" t="s">
        <v>3841</v>
      </c>
      <c r="G850" s="51">
        <v>255443.39</v>
      </c>
      <c r="H850" s="51">
        <v>0</v>
      </c>
      <c r="I850" s="50" t="s">
        <v>333</v>
      </c>
      <c r="J850" s="58" t="s">
        <v>3842</v>
      </c>
      <c r="K850" s="52" t="s">
        <v>2388</v>
      </c>
      <c r="L850" s="59"/>
      <c r="M850" s="60"/>
      <c r="N850" s="51">
        <v>249308.89</v>
      </c>
      <c r="O850" s="59" t="s">
        <v>46</v>
      </c>
      <c r="P850" s="59">
        <v>0</v>
      </c>
      <c r="Q850" s="51"/>
      <c r="R850" s="51">
        <f>N850+Q850</f>
        <v>249308.89</v>
      </c>
      <c r="S850" s="51" t="s">
        <v>46</v>
      </c>
      <c r="T850" s="52" t="s">
        <v>46</v>
      </c>
      <c r="U850" s="51" t="s">
        <v>46</v>
      </c>
      <c r="V850" s="51" t="s">
        <v>46</v>
      </c>
      <c r="W850" s="51"/>
      <c r="X850" s="51"/>
      <c r="Y850" s="19" t="s">
        <v>849</v>
      </c>
      <c r="Z850" s="19"/>
      <c r="AA850" s="28" t="s">
        <v>7757</v>
      </c>
      <c r="AB850" s="56">
        <v>43425</v>
      </c>
      <c r="AC850" s="28" t="s">
        <v>7758</v>
      </c>
      <c r="AD850" s="28" t="s">
        <v>7759</v>
      </c>
      <c r="AE850" s="54" t="s">
        <v>7762</v>
      </c>
      <c r="AF850" s="54"/>
      <c r="AG850" s="54" t="s">
        <v>7769</v>
      </c>
      <c r="AH850" s="53" t="s">
        <v>1591</v>
      </c>
      <c r="AI850" s="53" t="s">
        <v>2686</v>
      </c>
      <c r="AJ850" s="53" t="s">
        <v>1591</v>
      </c>
    </row>
    <row r="851" spans="1:36" s="3" customFormat="1" ht="36" x14ac:dyDescent="0.25">
      <c r="A851" s="35" t="s">
        <v>1298</v>
      </c>
      <c r="B851" s="18" t="s">
        <v>37</v>
      </c>
      <c r="C851" s="76"/>
      <c r="D851" s="43" t="s">
        <v>5117</v>
      </c>
      <c r="E851" s="78"/>
      <c r="F851" s="36" t="s">
        <v>252</v>
      </c>
      <c r="G851" s="80"/>
      <c r="H851" s="80"/>
      <c r="I851" s="36" t="s">
        <v>1979</v>
      </c>
      <c r="J851" s="34" t="s">
        <v>5115</v>
      </c>
      <c r="K851" s="37" t="s">
        <v>306</v>
      </c>
      <c r="L851" s="38">
        <v>41463</v>
      </c>
      <c r="M851" s="39">
        <v>41613</v>
      </c>
      <c r="N851" s="42">
        <v>148049.82999999999</v>
      </c>
      <c r="O851" s="85" t="s">
        <v>5118</v>
      </c>
      <c r="P851" s="86">
        <v>42513</v>
      </c>
      <c r="Q851" s="41">
        <v>0</v>
      </c>
      <c r="R851" s="41">
        <v>148049.82999999999</v>
      </c>
      <c r="S851" s="80"/>
      <c r="T851" s="81"/>
      <c r="U851" s="80"/>
      <c r="V851" s="80"/>
      <c r="W851" s="42"/>
      <c r="X851" s="42">
        <v>77320.41</v>
      </c>
      <c r="Y851" s="34" t="s">
        <v>4321</v>
      </c>
      <c r="Z851" s="19" t="s">
        <v>7038</v>
      </c>
      <c r="AA851" s="28" t="s">
        <v>7757</v>
      </c>
      <c r="AB851" s="56">
        <v>43425</v>
      </c>
      <c r="AC851" s="28" t="s">
        <v>7758</v>
      </c>
      <c r="AD851" s="28" t="s">
        <v>7759</v>
      </c>
      <c r="AE851" s="54" t="s">
        <v>7770</v>
      </c>
      <c r="AF851" s="54"/>
      <c r="AG851" s="54" t="s">
        <v>7767</v>
      </c>
      <c r="AH851" s="53" t="s">
        <v>1591</v>
      </c>
      <c r="AI851" s="53" t="s">
        <v>2686</v>
      </c>
      <c r="AJ851" s="53" t="s">
        <v>1591</v>
      </c>
    </row>
    <row r="852" spans="1:36" s="3" customFormat="1" ht="36" x14ac:dyDescent="0.25">
      <c r="A852" s="35" t="s">
        <v>1298</v>
      </c>
      <c r="B852" s="18" t="s">
        <v>37</v>
      </c>
      <c r="C852" s="76"/>
      <c r="D852" s="43" t="s">
        <v>5119</v>
      </c>
      <c r="E852" s="78"/>
      <c r="F852" s="36" t="s">
        <v>5110</v>
      </c>
      <c r="G852" s="80"/>
      <c r="H852" s="80"/>
      <c r="I852" s="36" t="s">
        <v>5120</v>
      </c>
      <c r="J852" s="34" t="s">
        <v>5121</v>
      </c>
      <c r="K852" s="37" t="s">
        <v>5122</v>
      </c>
      <c r="L852" s="38">
        <v>41912</v>
      </c>
      <c r="M852" s="39">
        <v>41972</v>
      </c>
      <c r="N852" s="42">
        <v>144000</v>
      </c>
      <c r="O852" s="85" t="s">
        <v>46</v>
      </c>
      <c r="P852" s="86">
        <v>42392</v>
      </c>
      <c r="Q852" s="41">
        <v>0</v>
      </c>
      <c r="R852" s="41">
        <v>144000</v>
      </c>
      <c r="S852" s="80"/>
      <c r="T852" s="81"/>
      <c r="U852" s="80"/>
      <c r="V852" s="80"/>
      <c r="W852" s="42"/>
      <c r="X852" s="42">
        <v>138496.4</v>
      </c>
      <c r="Y852" s="34" t="s">
        <v>4321</v>
      </c>
      <c r="Z852" s="19" t="s">
        <v>7038</v>
      </c>
      <c r="AA852" s="28" t="s">
        <v>7757</v>
      </c>
      <c r="AB852" s="56">
        <v>43425</v>
      </c>
      <c r="AC852" s="28" t="s">
        <v>7758</v>
      </c>
      <c r="AD852" s="28" t="s">
        <v>7759</v>
      </c>
      <c r="AE852" s="54" t="s">
        <v>7771</v>
      </c>
      <c r="AF852" s="54"/>
      <c r="AG852" s="54" t="s">
        <v>7767</v>
      </c>
      <c r="AH852" s="53" t="s">
        <v>1591</v>
      </c>
      <c r="AI852" s="53" t="s">
        <v>2686</v>
      </c>
      <c r="AJ852" s="53" t="s">
        <v>1591</v>
      </c>
    </row>
    <row r="853" spans="1:36" s="3" customFormat="1" ht="48" x14ac:dyDescent="0.25">
      <c r="A853" s="35" t="s">
        <v>1298</v>
      </c>
      <c r="B853" s="18" t="s">
        <v>37</v>
      </c>
      <c r="C853" s="19" t="s">
        <v>3558</v>
      </c>
      <c r="D853" s="43" t="s">
        <v>3559</v>
      </c>
      <c r="E853" s="50" t="s">
        <v>3851</v>
      </c>
      <c r="F853" s="36" t="s">
        <v>3852</v>
      </c>
      <c r="G853" s="51">
        <v>585000</v>
      </c>
      <c r="H853" s="51">
        <v>15567.2</v>
      </c>
      <c r="I853" s="36" t="s">
        <v>46</v>
      </c>
      <c r="J853" s="34" t="s">
        <v>46</v>
      </c>
      <c r="K853" s="37" t="s">
        <v>46</v>
      </c>
      <c r="L853" s="38" t="s">
        <v>46</v>
      </c>
      <c r="M853" s="39"/>
      <c r="N853" s="42"/>
      <c r="O853" s="74" t="s">
        <v>46</v>
      </c>
      <c r="P853" s="39">
        <v>0</v>
      </c>
      <c r="Q853" s="41"/>
      <c r="R853" s="51">
        <f t="shared" ref="R853:R859" si="36">N853+Q853</f>
        <v>0</v>
      </c>
      <c r="S853" s="51" t="s">
        <v>46</v>
      </c>
      <c r="T853" s="52"/>
      <c r="U853" s="51">
        <v>0</v>
      </c>
      <c r="V853" s="51">
        <v>0</v>
      </c>
      <c r="W853" s="42">
        <v>0</v>
      </c>
      <c r="X853" s="42">
        <v>0</v>
      </c>
      <c r="Y853" s="34" t="s">
        <v>849</v>
      </c>
      <c r="Z853" s="19" t="s">
        <v>4307</v>
      </c>
      <c r="AA853" s="28"/>
      <c r="AB853" s="56"/>
      <c r="AC853" s="28"/>
      <c r="AD853" s="28"/>
      <c r="AE853" s="54"/>
      <c r="AF853" s="54"/>
      <c r="AG853" s="54"/>
      <c r="AH853" s="53"/>
      <c r="AI853" s="53" t="s">
        <v>1591</v>
      </c>
      <c r="AJ853" s="53" t="s">
        <v>1591</v>
      </c>
    </row>
    <row r="854" spans="1:36" s="3" customFormat="1" ht="24" x14ac:dyDescent="0.25">
      <c r="A854" s="17" t="s">
        <v>1298</v>
      </c>
      <c r="B854" s="18" t="s">
        <v>37</v>
      </c>
      <c r="C854" s="19" t="s">
        <v>46</v>
      </c>
      <c r="D854" s="45" t="s">
        <v>3562</v>
      </c>
      <c r="E854" s="50" t="s">
        <v>3853</v>
      </c>
      <c r="F854" s="58" t="s">
        <v>686</v>
      </c>
      <c r="G854" s="51">
        <v>731250</v>
      </c>
      <c r="H854" s="51">
        <v>750</v>
      </c>
      <c r="I854" s="50" t="s">
        <v>46</v>
      </c>
      <c r="J854" s="58" t="s">
        <v>46</v>
      </c>
      <c r="K854" s="52" t="s">
        <v>46</v>
      </c>
      <c r="L854" s="59" t="s">
        <v>46</v>
      </c>
      <c r="M854" s="60"/>
      <c r="N854" s="51"/>
      <c r="O854" s="59" t="s">
        <v>46</v>
      </c>
      <c r="P854" s="59">
        <v>0</v>
      </c>
      <c r="Q854" s="51"/>
      <c r="R854" s="51">
        <f t="shared" si="36"/>
        <v>0</v>
      </c>
      <c r="S854" s="51" t="s">
        <v>46</v>
      </c>
      <c r="T854" s="52"/>
      <c r="U854" s="51" t="s">
        <v>46</v>
      </c>
      <c r="V854" s="51"/>
      <c r="W854" s="51"/>
      <c r="X854" s="51"/>
      <c r="Y854" s="19" t="s">
        <v>849</v>
      </c>
      <c r="Z854" s="19" t="s">
        <v>4307</v>
      </c>
      <c r="AA854" s="28"/>
      <c r="AB854" s="56"/>
      <c r="AC854" s="28"/>
      <c r="AD854" s="28"/>
      <c r="AE854" s="54"/>
      <c r="AF854" s="54"/>
      <c r="AG854" s="54"/>
      <c r="AH854" s="53"/>
      <c r="AI854" s="53" t="s">
        <v>1591</v>
      </c>
      <c r="AJ854" s="53" t="s">
        <v>1591</v>
      </c>
    </row>
    <row r="855" spans="1:36" s="3" customFormat="1" ht="36" x14ac:dyDescent="0.25">
      <c r="A855" s="17" t="s">
        <v>1298</v>
      </c>
      <c r="B855" s="18" t="s">
        <v>37</v>
      </c>
      <c r="C855" s="19" t="s">
        <v>46</v>
      </c>
      <c r="D855" s="45" t="s">
        <v>3553</v>
      </c>
      <c r="E855" s="50" t="s">
        <v>73</v>
      </c>
      <c r="F855" s="58" t="s">
        <v>661</v>
      </c>
      <c r="G855" s="51">
        <v>100000</v>
      </c>
      <c r="H855" s="51">
        <v>4219.54</v>
      </c>
      <c r="I855" s="50" t="s">
        <v>46</v>
      </c>
      <c r="J855" s="58" t="s">
        <v>46</v>
      </c>
      <c r="K855" s="52" t="s">
        <v>46</v>
      </c>
      <c r="L855" s="59" t="s">
        <v>46</v>
      </c>
      <c r="M855" s="60"/>
      <c r="N855" s="51"/>
      <c r="O855" s="59" t="s">
        <v>46</v>
      </c>
      <c r="P855" s="59">
        <v>0</v>
      </c>
      <c r="Q855" s="51"/>
      <c r="R855" s="51">
        <f t="shared" si="36"/>
        <v>0</v>
      </c>
      <c r="S855" s="51" t="s">
        <v>46</v>
      </c>
      <c r="T855" s="52"/>
      <c r="U855" s="51" t="s">
        <v>46</v>
      </c>
      <c r="V855" s="51" t="s">
        <v>46</v>
      </c>
      <c r="W855" s="51"/>
      <c r="X855" s="51"/>
      <c r="Y855" s="19" t="s">
        <v>849</v>
      </c>
      <c r="Z855" s="19" t="s">
        <v>4309</v>
      </c>
      <c r="AA855" s="28"/>
      <c r="AB855" s="56"/>
      <c r="AC855" s="28"/>
      <c r="AD855" s="28"/>
      <c r="AE855" s="54"/>
      <c r="AF855" s="54"/>
      <c r="AG855" s="54"/>
      <c r="AH855" s="53"/>
      <c r="AI855" s="53" t="s">
        <v>1591</v>
      </c>
      <c r="AJ855" s="53" t="s">
        <v>1591</v>
      </c>
    </row>
    <row r="856" spans="1:36" s="3" customFormat="1" ht="48" x14ac:dyDescent="0.25">
      <c r="A856" s="17" t="s">
        <v>1298</v>
      </c>
      <c r="B856" s="18" t="s">
        <v>37</v>
      </c>
      <c r="C856" s="19" t="s">
        <v>3560</v>
      </c>
      <c r="D856" s="45" t="s">
        <v>3561</v>
      </c>
      <c r="E856" s="50" t="s">
        <v>46</v>
      </c>
      <c r="F856" s="58" t="s">
        <v>46</v>
      </c>
      <c r="G856" s="51" t="s">
        <v>46</v>
      </c>
      <c r="H856" s="51" t="s">
        <v>46</v>
      </c>
      <c r="I856" s="50" t="s">
        <v>46</v>
      </c>
      <c r="J856" s="58" t="s">
        <v>46</v>
      </c>
      <c r="K856" s="52" t="s">
        <v>46</v>
      </c>
      <c r="L856" s="59" t="s">
        <v>46</v>
      </c>
      <c r="M856" s="60"/>
      <c r="N856" s="51"/>
      <c r="O856" s="59" t="s">
        <v>46</v>
      </c>
      <c r="P856" s="59">
        <v>0</v>
      </c>
      <c r="Q856" s="51"/>
      <c r="R856" s="51">
        <f t="shared" si="36"/>
        <v>0</v>
      </c>
      <c r="S856" s="51" t="s">
        <v>46</v>
      </c>
      <c r="T856" s="52"/>
      <c r="U856" s="51" t="s">
        <v>46</v>
      </c>
      <c r="V856" s="51" t="s">
        <v>46</v>
      </c>
      <c r="W856" s="51"/>
      <c r="X856" s="51"/>
      <c r="Y856" s="19" t="s">
        <v>849</v>
      </c>
      <c r="Z856" s="19" t="s">
        <v>4309</v>
      </c>
      <c r="AA856" s="28"/>
      <c r="AB856" s="56"/>
      <c r="AC856" s="28"/>
      <c r="AD856" s="28"/>
      <c r="AE856" s="54"/>
      <c r="AF856" s="54"/>
      <c r="AG856" s="54"/>
      <c r="AH856" s="53"/>
      <c r="AI856" s="53" t="s">
        <v>1591</v>
      </c>
      <c r="AJ856" s="53" t="s">
        <v>1591</v>
      </c>
    </row>
    <row r="857" spans="1:36" s="3" customFormat="1" ht="108" x14ac:dyDescent="0.25">
      <c r="A857" s="17" t="s">
        <v>1306</v>
      </c>
      <c r="B857" s="18" t="s">
        <v>37</v>
      </c>
      <c r="C857" s="19" t="s">
        <v>1340</v>
      </c>
      <c r="D857" s="45" t="s">
        <v>2973</v>
      </c>
      <c r="E857" s="50"/>
      <c r="F857" s="58" t="s">
        <v>1004</v>
      </c>
      <c r="G857" s="51">
        <v>1220334.8700000001</v>
      </c>
      <c r="H857" s="51"/>
      <c r="I857" s="50" t="s">
        <v>1135</v>
      </c>
      <c r="J857" s="58" t="s">
        <v>3153</v>
      </c>
      <c r="K857" s="52" t="s">
        <v>839</v>
      </c>
      <c r="L857" s="59">
        <v>41730</v>
      </c>
      <c r="M857" s="60">
        <f>L857+180</f>
        <v>41910</v>
      </c>
      <c r="N857" s="51">
        <v>1218960.78</v>
      </c>
      <c r="O857" s="59">
        <v>41910</v>
      </c>
      <c r="P857" s="59">
        <v>42271</v>
      </c>
      <c r="Q857" s="51"/>
      <c r="R857" s="51">
        <f t="shared" si="36"/>
        <v>1218960.78</v>
      </c>
      <c r="S857" s="51"/>
      <c r="T857" s="52" t="s">
        <v>3335</v>
      </c>
      <c r="U857" s="51"/>
      <c r="V857" s="51"/>
      <c r="W857" s="51"/>
      <c r="X857" s="51">
        <v>1007260.84</v>
      </c>
      <c r="Y857" s="19" t="s">
        <v>575</v>
      </c>
      <c r="Z857" s="19"/>
      <c r="AA857" s="28" t="s">
        <v>7772</v>
      </c>
      <c r="AB857" s="56">
        <v>43413</v>
      </c>
      <c r="AC857" s="28" t="s">
        <v>7773</v>
      </c>
      <c r="AD857" s="28" t="s">
        <v>7774</v>
      </c>
      <c r="AE857" s="54" t="s">
        <v>7775</v>
      </c>
      <c r="AF857" s="54"/>
      <c r="AG857" s="54" t="s">
        <v>7776</v>
      </c>
      <c r="AH857" s="53" t="s">
        <v>1591</v>
      </c>
      <c r="AI857" s="53" t="s">
        <v>2686</v>
      </c>
      <c r="AJ857" s="53" t="s">
        <v>1591</v>
      </c>
    </row>
    <row r="858" spans="1:36" s="3" customFormat="1" ht="72" x14ac:dyDescent="0.25">
      <c r="A858" s="35" t="s">
        <v>1306</v>
      </c>
      <c r="B858" s="18" t="s">
        <v>37</v>
      </c>
      <c r="C858" s="19" t="s">
        <v>55</v>
      </c>
      <c r="D858" s="43" t="s">
        <v>2978</v>
      </c>
      <c r="E858" s="50"/>
      <c r="F858" s="36" t="s">
        <v>2842</v>
      </c>
      <c r="G858" s="51"/>
      <c r="H858" s="51"/>
      <c r="I858" s="36" t="s">
        <v>3161</v>
      </c>
      <c r="J858" s="34" t="s">
        <v>3162</v>
      </c>
      <c r="K858" s="37" t="s">
        <v>839</v>
      </c>
      <c r="L858" s="38">
        <v>42163</v>
      </c>
      <c r="M858" s="39">
        <f>L858+270</f>
        <v>42433</v>
      </c>
      <c r="N858" s="42">
        <v>690212.11</v>
      </c>
      <c r="O858" s="74">
        <v>42433</v>
      </c>
      <c r="P858" s="39"/>
      <c r="Q858" s="41"/>
      <c r="R858" s="51">
        <f t="shared" si="36"/>
        <v>690212.11</v>
      </c>
      <c r="S858" s="51"/>
      <c r="T858" s="52" t="s">
        <v>3338</v>
      </c>
      <c r="U858" s="51"/>
      <c r="V858" s="51"/>
      <c r="W858" s="42"/>
      <c r="X858" s="42">
        <v>50812.66</v>
      </c>
      <c r="Y858" s="34" t="s">
        <v>575</v>
      </c>
      <c r="Z858" s="34"/>
      <c r="AA858" s="28" t="s">
        <v>7772</v>
      </c>
      <c r="AB858" s="56">
        <v>43413</v>
      </c>
      <c r="AC858" s="28" t="s">
        <v>7773</v>
      </c>
      <c r="AD858" s="28" t="s">
        <v>7774</v>
      </c>
      <c r="AE858" s="54" t="s">
        <v>7777</v>
      </c>
      <c r="AF858" s="54"/>
      <c r="AG858" s="54" t="s">
        <v>7778</v>
      </c>
      <c r="AH858" s="53" t="s">
        <v>1591</v>
      </c>
      <c r="AI858" s="53" t="s">
        <v>2686</v>
      </c>
      <c r="AJ858" s="53" t="s">
        <v>1591</v>
      </c>
    </row>
    <row r="859" spans="1:36" s="3" customFormat="1" ht="156" x14ac:dyDescent="0.25">
      <c r="A859" s="17" t="s">
        <v>1306</v>
      </c>
      <c r="B859" s="18" t="s">
        <v>37</v>
      </c>
      <c r="C859" s="19" t="s">
        <v>85</v>
      </c>
      <c r="D859" s="45" t="s">
        <v>2974</v>
      </c>
      <c r="E859" s="50"/>
      <c r="F859" s="58" t="s">
        <v>1004</v>
      </c>
      <c r="G859" s="51">
        <v>498685</v>
      </c>
      <c r="H859" s="51"/>
      <c r="I859" s="50" t="s">
        <v>3154</v>
      </c>
      <c r="J859" s="58" t="s">
        <v>3155</v>
      </c>
      <c r="K859" s="52" t="s">
        <v>839</v>
      </c>
      <c r="L859" s="59">
        <v>41855</v>
      </c>
      <c r="M859" s="60">
        <f>L859+180</f>
        <v>42035</v>
      </c>
      <c r="N859" s="51">
        <v>553117.21</v>
      </c>
      <c r="O859" s="59">
        <v>42035</v>
      </c>
      <c r="P859" s="59">
        <v>43107</v>
      </c>
      <c r="Q859" s="51"/>
      <c r="R859" s="51">
        <f t="shared" si="36"/>
        <v>553117.21</v>
      </c>
      <c r="S859" s="51"/>
      <c r="T859" s="52" t="s">
        <v>3335</v>
      </c>
      <c r="U859" s="51">
        <v>7182.46</v>
      </c>
      <c r="V859" s="51">
        <v>7182.46</v>
      </c>
      <c r="W859" s="51">
        <v>29202.27</v>
      </c>
      <c r="X859" s="51">
        <v>318071.90000000002</v>
      </c>
      <c r="Y859" s="19" t="s">
        <v>186</v>
      </c>
      <c r="Z859" s="19"/>
      <c r="AA859" s="28" t="s">
        <v>7772</v>
      </c>
      <c r="AB859" s="56">
        <v>43413</v>
      </c>
      <c r="AC859" s="28" t="s">
        <v>7773</v>
      </c>
      <c r="AD859" s="28" t="s">
        <v>7774</v>
      </c>
      <c r="AE859" s="54" t="s">
        <v>7779</v>
      </c>
      <c r="AF859" s="54"/>
      <c r="AG859" s="54" t="s">
        <v>7780</v>
      </c>
      <c r="AH859" s="53" t="s">
        <v>1591</v>
      </c>
      <c r="AI859" s="53" t="s">
        <v>2686</v>
      </c>
      <c r="AJ859" s="53" t="s">
        <v>1591</v>
      </c>
    </row>
    <row r="860" spans="1:36" s="3" customFormat="1" ht="48" x14ac:dyDescent="0.25">
      <c r="A860" s="17" t="s">
        <v>1306</v>
      </c>
      <c r="B860" s="18" t="s">
        <v>37</v>
      </c>
      <c r="C860" s="76" t="s">
        <v>5124</v>
      </c>
      <c r="D860" s="77" t="s">
        <v>5125</v>
      </c>
      <c r="E860" s="78"/>
      <c r="F860" s="79" t="s">
        <v>1309</v>
      </c>
      <c r="G860" s="80">
        <v>289195.56</v>
      </c>
      <c r="H860" s="80"/>
      <c r="I860" s="78" t="s">
        <v>1308</v>
      </c>
      <c r="J860" s="79" t="s">
        <v>5123</v>
      </c>
      <c r="K860" s="81" t="s">
        <v>839</v>
      </c>
      <c r="L860" s="82">
        <v>42060</v>
      </c>
      <c r="M860" s="83">
        <v>42180</v>
      </c>
      <c r="N860" s="80">
        <v>289195.56</v>
      </c>
      <c r="O860" s="82">
        <v>42180</v>
      </c>
      <c r="P860" s="84">
        <v>42301</v>
      </c>
      <c r="Q860" s="80">
        <v>31560.77999999997</v>
      </c>
      <c r="R860" s="80">
        <v>320756.33999999997</v>
      </c>
      <c r="S860" s="80"/>
      <c r="T860" s="81"/>
      <c r="U860" s="80">
        <v>117935.96</v>
      </c>
      <c r="V860" s="80"/>
      <c r="W860" s="80"/>
      <c r="X860" s="80">
        <v>117935.96</v>
      </c>
      <c r="Y860" s="76" t="s">
        <v>472</v>
      </c>
      <c r="Z860" s="19" t="s">
        <v>7038</v>
      </c>
      <c r="AA860" s="28" t="s">
        <v>7772</v>
      </c>
      <c r="AB860" s="56">
        <v>43413</v>
      </c>
      <c r="AC860" s="28" t="s">
        <v>7773</v>
      </c>
      <c r="AD860" s="28" t="s">
        <v>7774</v>
      </c>
      <c r="AE860" s="54" t="s">
        <v>7779</v>
      </c>
      <c r="AF860" s="54"/>
      <c r="AG860" s="54" t="s">
        <v>7781</v>
      </c>
      <c r="AH860" s="53" t="s">
        <v>1591</v>
      </c>
      <c r="AI860" s="53" t="s">
        <v>2686</v>
      </c>
      <c r="AJ860" s="53" t="s">
        <v>1591</v>
      </c>
    </row>
    <row r="861" spans="1:36" s="3" customFormat="1" ht="120" x14ac:dyDescent="0.25">
      <c r="A861" s="17" t="s">
        <v>1306</v>
      </c>
      <c r="B861" s="18" t="s">
        <v>37</v>
      </c>
      <c r="C861" s="19" t="s">
        <v>57</v>
      </c>
      <c r="D861" s="45" t="s">
        <v>2975</v>
      </c>
      <c r="E861" s="50"/>
      <c r="F861" s="58" t="s">
        <v>3156</v>
      </c>
      <c r="G861" s="51">
        <v>291695.03000000003</v>
      </c>
      <c r="H861" s="51"/>
      <c r="I861" s="50" t="s">
        <v>105</v>
      </c>
      <c r="J861" s="58" t="s">
        <v>3157</v>
      </c>
      <c r="K861" s="52" t="s">
        <v>839</v>
      </c>
      <c r="L861" s="59">
        <v>42137</v>
      </c>
      <c r="M861" s="60">
        <f>L861+120</f>
        <v>42257</v>
      </c>
      <c r="N861" s="51">
        <v>291695.03000000003</v>
      </c>
      <c r="O861" s="59">
        <v>42257</v>
      </c>
      <c r="P861" s="59">
        <v>43096</v>
      </c>
      <c r="Q861" s="51"/>
      <c r="R861" s="51">
        <f>N861+Q861</f>
        <v>291695.03000000003</v>
      </c>
      <c r="S861" s="51"/>
      <c r="T861" s="52" t="s">
        <v>3336</v>
      </c>
      <c r="U861" s="51"/>
      <c r="V861" s="51"/>
      <c r="W861" s="51">
        <v>14438.78</v>
      </c>
      <c r="X861" s="51">
        <v>105809.84</v>
      </c>
      <c r="Y861" s="19" t="s">
        <v>3337</v>
      </c>
      <c r="Z861" s="19"/>
      <c r="AA861" s="28" t="s">
        <v>7772</v>
      </c>
      <c r="AB861" s="56">
        <v>43413</v>
      </c>
      <c r="AC861" s="28" t="s">
        <v>7773</v>
      </c>
      <c r="AD861" s="28" t="s">
        <v>7774</v>
      </c>
      <c r="AE861" s="54" t="s">
        <v>7782</v>
      </c>
      <c r="AF861" s="54"/>
      <c r="AG861" s="54" t="s">
        <v>7783</v>
      </c>
      <c r="AH861" s="53" t="s">
        <v>1591</v>
      </c>
      <c r="AI861" s="53" t="s">
        <v>2686</v>
      </c>
      <c r="AJ861" s="53" t="s">
        <v>1591</v>
      </c>
    </row>
    <row r="862" spans="1:36" s="3" customFormat="1" ht="60" x14ac:dyDescent="0.25">
      <c r="A862" s="17" t="s">
        <v>1306</v>
      </c>
      <c r="B862" s="18" t="s">
        <v>37</v>
      </c>
      <c r="C862" s="19" t="s">
        <v>95</v>
      </c>
      <c r="D862" s="45" t="s">
        <v>2977</v>
      </c>
      <c r="E862" s="50"/>
      <c r="F862" s="58" t="s">
        <v>3159</v>
      </c>
      <c r="G862" s="51">
        <v>276171.78999999998</v>
      </c>
      <c r="H862" s="51"/>
      <c r="I862" s="50" t="s">
        <v>1314</v>
      </c>
      <c r="J862" s="58" t="s">
        <v>3160</v>
      </c>
      <c r="K862" s="52" t="s">
        <v>839</v>
      </c>
      <c r="L862" s="59">
        <v>42171</v>
      </c>
      <c r="M862" s="60">
        <f>L862+240</f>
        <v>42411</v>
      </c>
      <c r="N862" s="51">
        <v>274228.05</v>
      </c>
      <c r="O862" s="59">
        <v>42411</v>
      </c>
      <c r="P862" s="59">
        <v>42651</v>
      </c>
      <c r="Q862" s="51"/>
      <c r="R862" s="51">
        <f>N862+Q862</f>
        <v>274228.05</v>
      </c>
      <c r="S862" s="51"/>
      <c r="T862" s="52" t="s">
        <v>1310</v>
      </c>
      <c r="U862" s="51"/>
      <c r="V862" s="51"/>
      <c r="W862" s="51"/>
      <c r="X862" s="51">
        <v>76337.08</v>
      </c>
      <c r="Y862" s="19" t="s">
        <v>575</v>
      </c>
      <c r="Z862" s="19"/>
      <c r="AA862" s="28" t="s">
        <v>7772</v>
      </c>
      <c r="AB862" s="56">
        <v>43413</v>
      </c>
      <c r="AC862" s="28" t="s">
        <v>7773</v>
      </c>
      <c r="AD862" s="28" t="s">
        <v>7774</v>
      </c>
      <c r="AE862" s="54" t="s">
        <v>7784</v>
      </c>
      <c r="AF862" s="54"/>
      <c r="AG862" s="54" t="s">
        <v>7785</v>
      </c>
      <c r="AH862" s="53" t="s">
        <v>1591</v>
      </c>
      <c r="AI862" s="53" t="s">
        <v>2686</v>
      </c>
      <c r="AJ862" s="53" t="s">
        <v>1591</v>
      </c>
    </row>
    <row r="863" spans="1:36" s="3" customFormat="1" ht="36" x14ac:dyDescent="0.25">
      <c r="A863" s="17" t="s">
        <v>1306</v>
      </c>
      <c r="B863" s="18" t="s">
        <v>37</v>
      </c>
      <c r="C863" s="19" t="s">
        <v>88</v>
      </c>
      <c r="D863" s="45" t="s">
        <v>2976</v>
      </c>
      <c r="E863" s="50"/>
      <c r="F863" s="58" t="s">
        <v>901</v>
      </c>
      <c r="G863" s="51"/>
      <c r="H863" s="51"/>
      <c r="I863" s="50" t="s">
        <v>3158</v>
      </c>
      <c r="J863" s="58" t="s">
        <v>3157</v>
      </c>
      <c r="K863" s="52" t="s">
        <v>839</v>
      </c>
      <c r="L863" s="59">
        <v>42233</v>
      </c>
      <c r="M863" s="60">
        <f>L863+300</f>
        <v>42533</v>
      </c>
      <c r="N863" s="51">
        <v>221858.23</v>
      </c>
      <c r="O863" s="59">
        <v>42533</v>
      </c>
      <c r="P863" s="59"/>
      <c r="Q863" s="51"/>
      <c r="R863" s="51">
        <f>N863+Q863</f>
        <v>221858.23</v>
      </c>
      <c r="S863" s="51"/>
      <c r="T863" s="52"/>
      <c r="U863" s="51"/>
      <c r="V863" s="51"/>
      <c r="W863" s="51"/>
      <c r="X863" s="51">
        <v>229753.87</v>
      </c>
      <c r="Y863" s="19" t="s">
        <v>575</v>
      </c>
      <c r="Z863" s="19"/>
      <c r="AA863" s="28" t="s">
        <v>7772</v>
      </c>
      <c r="AB863" s="56">
        <v>43413</v>
      </c>
      <c r="AC863" s="28" t="s">
        <v>7773</v>
      </c>
      <c r="AD863" s="28" t="s">
        <v>7774</v>
      </c>
      <c r="AE863" s="54" t="s">
        <v>7784</v>
      </c>
      <c r="AF863" s="54"/>
      <c r="AG863" s="54" t="s">
        <v>7786</v>
      </c>
      <c r="AH863" s="53" t="s">
        <v>1591</v>
      </c>
      <c r="AI863" s="53" t="s">
        <v>2686</v>
      </c>
      <c r="AJ863" s="53" t="s">
        <v>1591</v>
      </c>
    </row>
    <row r="864" spans="1:36" s="3" customFormat="1" ht="24" x14ac:dyDescent="0.25">
      <c r="A864" s="17" t="s">
        <v>1306</v>
      </c>
      <c r="B864" s="18" t="s">
        <v>37</v>
      </c>
      <c r="C864" s="19" t="s">
        <v>34</v>
      </c>
      <c r="D864" s="45" t="s">
        <v>2979</v>
      </c>
      <c r="E864" s="50"/>
      <c r="F864" s="58" t="s">
        <v>3163</v>
      </c>
      <c r="G864" s="51"/>
      <c r="H864" s="51"/>
      <c r="I864" s="50" t="s">
        <v>1218</v>
      </c>
      <c r="J864" s="58" t="s">
        <v>3164</v>
      </c>
      <c r="K864" s="52" t="s">
        <v>839</v>
      </c>
      <c r="L864" s="59">
        <v>42536</v>
      </c>
      <c r="M864" s="60">
        <f>L864+365</f>
        <v>42901</v>
      </c>
      <c r="N864" s="51">
        <v>137955.01999999999</v>
      </c>
      <c r="O864" s="59">
        <v>42901</v>
      </c>
      <c r="P864" s="59"/>
      <c r="Q864" s="51"/>
      <c r="R864" s="51">
        <f>N864+Q864</f>
        <v>137955.01999999999</v>
      </c>
      <c r="S864" s="51"/>
      <c r="T864" s="52" t="s">
        <v>3339</v>
      </c>
      <c r="U864" s="51"/>
      <c r="V864" s="51"/>
      <c r="W864" s="51"/>
      <c r="X864" s="51">
        <v>22189.34</v>
      </c>
      <c r="Y864" s="19" t="s">
        <v>575</v>
      </c>
      <c r="Z864" s="19"/>
      <c r="AA864" s="28" t="s">
        <v>7772</v>
      </c>
      <c r="AB864" s="56">
        <v>43413</v>
      </c>
      <c r="AC864" s="28" t="s">
        <v>7773</v>
      </c>
      <c r="AD864" s="28" t="s">
        <v>7774</v>
      </c>
      <c r="AE864" s="54" t="s">
        <v>7784</v>
      </c>
      <c r="AF864" s="54"/>
      <c r="AG864" s="54" t="s">
        <v>7786</v>
      </c>
      <c r="AH864" s="53" t="s">
        <v>1591</v>
      </c>
      <c r="AI864" s="53" t="s">
        <v>2686</v>
      </c>
      <c r="AJ864" s="53" t="s">
        <v>1591</v>
      </c>
    </row>
    <row r="865" spans="1:36" s="3" customFormat="1" ht="36" x14ac:dyDescent="0.25">
      <c r="A865" s="17" t="s">
        <v>1306</v>
      </c>
      <c r="B865" s="18" t="s">
        <v>37</v>
      </c>
      <c r="C865" s="76" t="s">
        <v>4855</v>
      </c>
      <c r="D865" s="45" t="s">
        <v>5126</v>
      </c>
      <c r="E865" s="78"/>
      <c r="F865" s="79" t="s">
        <v>1307</v>
      </c>
      <c r="G865" s="80"/>
      <c r="H865" s="80"/>
      <c r="I865" s="78"/>
      <c r="J865" s="79"/>
      <c r="K865" s="81" t="s">
        <v>839</v>
      </c>
      <c r="L865" s="82"/>
      <c r="M865" s="83"/>
      <c r="N865" s="80"/>
      <c r="O865" s="82"/>
      <c r="P865" s="84"/>
      <c r="Q865" s="80">
        <v>0</v>
      </c>
      <c r="R865" s="80"/>
      <c r="S865" s="80"/>
      <c r="T865" s="81"/>
      <c r="U865" s="80">
        <v>36882.9</v>
      </c>
      <c r="V865" s="80"/>
      <c r="W865" s="80"/>
      <c r="X865" s="80">
        <v>36882.9</v>
      </c>
      <c r="Y865" s="76" t="s">
        <v>844</v>
      </c>
      <c r="Z865" s="19" t="s">
        <v>7038</v>
      </c>
      <c r="AA865" s="28" t="s">
        <v>7772</v>
      </c>
      <c r="AB865" s="56">
        <v>43413</v>
      </c>
      <c r="AC865" s="28" t="s">
        <v>7773</v>
      </c>
      <c r="AD865" s="28" t="s">
        <v>7774</v>
      </c>
      <c r="AE865" s="54" t="s">
        <v>7787</v>
      </c>
      <c r="AF865" s="54"/>
      <c r="AG865" s="54" t="s">
        <v>7788</v>
      </c>
      <c r="AH865" s="53" t="s">
        <v>1591</v>
      </c>
      <c r="AI865" s="53" t="s">
        <v>2686</v>
      </c>
      <c r="AJ865" s="53" t="s">
        <v>1591</v>
      </c>
    </row>
    <row r="866" spans="1:36" s="3" customFormat="1" ht="120" x14ac:dyDescent="0.25">
      <c r="A866" s="35" t="s">
        <v>29</v>
      </c>
      <c r="B866" s="18" t="s">
        <v>37</v>
      </c>
      <c r="C866" s="76"/>
      <c r="D866" s="43" t="s">
        <v>5127</v>
      </c>
      <c r="E866" s="78"/>
      <c r="F866" s="36" t="s">
        <v>5128</v>
      </c>
      <c r="G866" s="80"/>
      <c r="H866" s="80"/>
      <c r="I866" s="36" t="s">
        <v>5129</v>
      </c>
      <c r="J866" s="34" t="s">
        <v>5130</v>
      </c>
      <c r="K866" s="37" t="s">
        <v>839</v>
      </c>
      <c r="L866" s="38">
        <v>41577</v>
      </c>
      <c r="M866" s="39">
        <v>41847</v>
      </c>
      <c r="N866" s="42">
        <v>1287719.4099999999</v>
      </c>
      <c r="O866" s="85"/>
      <c r="P866" s="86">
        <v>41847</v>
      </c>
      <c r="Q866" s="41"/>
      <c r="R866" s="41">
        <v>1287719.4099999999</v>
      </c>
      <c r="S866" s="80"/>
      <c r="T866" s="81"/>
      <c r="U866" s="80"/>
      <c r="V866" s="80"/>
      <c r="W866" s="42"/>
      <c r="X866" s="42">
        <v>193828.75</v>
      </c>
      <c r="Y866" s="34" t="s">
        <v>4321</v>
      </c>
      <c r="Z866" s="19" t="s">
        <v>7038</v>
      </c>
      <c r="AA866" s="28" t="s">
        <v>8449</v>
      </c>
      <c r="AB866" s="56">
        <v>43412</v>
      </c>
      <c r="AC866" s="28" t="s">
        <v>7789</v>
      </c>
      <c r="AD866" s="28" t="s">
        <v>7790</v>
      </c>
      <c r="AE866" s="54" t="s">
        <v>7791</v>
      </c>
      <c r="AF866" s="54"/>
      <c r="AG866" s="54" t="s">
        <v>7792</v>
      </c>
      <c r="AH866" s="53" t="s">
        <v>1591</v>
      </c>
      <c r="AI866" s="53" t="s">
        <v>2686</v>
      </c>
      <c r="AJ866" s="53" t="s">
        <v>1591</v>
      </c>
    </row>
    <row r="867" spans="1:36" s="3" customFormat="1" ht="120" x14ac:dyDescent="0.25">
      <c r="A867" s="35" t="s">
        <v>29</v>
      </c>
      <c r="B867" s="18" t="s">
        <v>37</v>
      </c>
      <c r="C867" s="76"/>
      <c r="D867" s="43" t="s">
        <v>5131</v>
      </c>
      <c r="E867" s="78"/>
      <c r="F867" s="36" t="s">
        <v>5132</v>
      </c>
      <c r="G867" s="80"/>
      <c r="H867" s="80"/>
      <c r="I867" s="36" t="s">
        <v>5129</v>
      </c>
      <c r="J867" s="34" t="s">
        <v>5130</v>
      </c>
      <c r="K867" s="37" t="s">
        <v>46</v>
      </c>
      <c r="L867" s="38"/>
      <c r="M867" s="39"/>
      <c r="N867" s="42">
        <v>459115.74</v>
      </c>
      <c r="O867" s="85" t="s">
        <v>46</v>
      </c>
      <c r="P867" s="86">
        <v>0</v>
      </c>
      <c r="Q867" s="41"/>
      <c r="R867" s="41">
        <v>459115.74</v>
      </c>
      <c r="S867" s="80"/>
      <c r="T867" s="81"/>
      <c r="U867" s="80"/>
      <c r="V867" s="80"/>
      <c r="W867" s="42"/>
      <c r="X867" s="42">
        <v>0</v>
      </c>
      <c r="Y867" s="34" t="s">
        <v>4321</v>
      </c>
      <c r="Z867" s="19" t="s">
        <v>7038</v>
      </c>
      <c r="AA867" s="28" t="s">
        <v>8449</v>
      </c>
      <c r="AB867" s="56">
        <v>43412</v>
      </c>
      <c r="AC867" s="28" t="s">
        <v>7789</v>
      </c>
      <c r="AD867" s="28" t="s">
        <v>7790</v>
      </c>
      <c r="AE867" s="54" t="s">
        <v>7793</v>
      </c>
      <c r="AF867" s="54"/>
      <c r="AG867" s="54" t="s">
        <v>7794</v>
      </c>
      <c r="AH867" s="53" t="s">
        <v>1591</v>
      </c>
      <c r="AI867" s="53" t="s">
        <v>2686</v>
      </c>
      <c r="AJ867" s="53" t="s">
        <v>1591</v>
      </c>
    </row>
    <row r="868" spans="1:36" s="3" customFormat="1" ht="144" x14ac:dyDescent="0.25">
      <c r="A868" s="35" t="s">
        <v>29</v>
      </c>
      <c r="B868" s="18" t="s">
        <v>37</v>
      </c>
      <c r="C868" s="76"/>
      <c r="D868" s="43" t="s">
        <v>5133</v>
      </c>
      <c r="E868" s="78"/>
      <c r="F868" s="36" t="s">
        <v>5132</v>
      </c>
      <c r="G868" s="80"/>
      <c r="H868" s="80"/>
      <c r="I868" s="36" t="s">
        <v>5129</v>
      </c>
      <c r="J868" s="34" t="s">
        <v>5130</v>
      </c>
      <c r="K868" s="37" t="s">
        <v>5134</v>
      </c>
      <c r="L868" s="38">
        <v>41683</v>
      </c>
      <c r="M868" s="39">
        <v>41863</v>
      </c>
      <c r="N868" s="42">
        <v>211184.2</v>
      </c>
      <c r="O868" s="85" t="s">
        <v>46</v>
      </c>
      <c r="P868" s="86">
        <v>41863</v>
      </c>
      <c r="Q868" s="41"/>
      <c r="R868" s="41">
        <v>211184.2</v>
      </c>
      <c r="S868" s="80"/>
      <c r="T868" s="81"/>
      <c r="U868" s="80"/>
      <c r="V868" s="80"/>
      <c r="W868" s="42"/>
      <c r="X868" s="42"/>
      <c r="Y868" s="34" t="s">
        <v>4321</v>
      </c>
      <c r="Z868" s="19" t="s">
        <v>7038</v>
      </c>
      <c r="AA868" s="28" t="s">
        <v>8449</v>
      </c>
      <c r="AB868" s="56">
        <v>43412</v>
      </c>
      <c r="AC868" s="28" t="s">
        <v>7789</v>
      </c>
      <c r="AD868" s="28" t="s">
        <v>7790</v>
      </c>
      <c r="AE868" s="54" t="s">
        <v>7795</v>
      </c>
      <c r="AF868" s="54"/>
      <c r="AG868" s="54" t="s">
        <v>7796</v>
      </c>
      <c r="AH868" s="53" t="s">
        <v>1591</v>
      </c>
      <c r="AI868" s="53" t="s">
        <v>2686</v>
      </c>
      <c r="AJ868" s="53" t="s">
        <v>1591</v>
      </c>
    </row>
    <row r="869" spans="1:36" s="3" customFormat="1" ht="72" x14ac:dyDescent="0.25">
      <c r="A869" s="35" t="s">
        <v>29</v>
      </c>
      <c r="B869" s="18" t="s">
        <v>37</v>
      </c>
      <c r="C869" s="76"/>
      <c r="D869" s="43" t="s">
        <v>5135</v>
      </c>
      <c r="E869" s="78"/>
      <c r="F869" s="36" t="s">
        <v>5132</v>
      </c>
      <c r="G869" s="80"/>
      <c r="H869" s="80"/>
      <c r="I869" s="36" t="s">
        <v>5129</v>
      </c>
      <c r="J869" s="34" t="s">
        <v>5130</v>
      </c>
      <c r="K869" s="37" t="s">
        <v>5136</v>
      </c>
      <c r="L869" s="38">
        <v>41683</v>
      </c>
      <c r="M869" s="39">
        <v>41863</v>
      </c>
      <c r="N869" s="42">
        <v>94658.21</v>
      </c>
      <c r="O869" s="85" t="s">
        <v>46</v>
      </c>
      <c r="P869" s="86">
        <v>41863</v>
      </c>
      <c r="Q869" s="41"/>
      <c r="R869" s="41">
        <v>94658.21</v>
      </c>
      <c r="S869" s="80"/>
      <c r="T869" s="81"/>
      <c r="U869" s="80"/>
      <c r="V869" s="80"/>
      <c r="W869" s="42"/>
      <c r="X869" s="42">
        <v>55014</v>
      </c>
      <c r="Y869" s="34" t="s">
        <v>4321</v>
      </c>
      <c r="Z869" s="19" t="s">
        <v>7038</v>
      </c>
      <c r="AA869" s="28" t="s">
        <v>8449</v>
      </c>
      <c r="AB869" s="56">
        <v>43412</v>
      </c>
      <c r="AC869" s="28" t="s">
        <v>7789</v>
      </c>
      <c r="AD869" s="28" t="s">
        <v>7790</v>
      </c>
      <c r="AE869" s="54" t="s">
        <v>7797</v>
      </c>
      <c r="AF869" s="54"/>
      <c r="AG869" s="54" t="s">
        <v>7798</v>
      </c>
      <c r="AH869" s="53" t="s">
        <v>1591</v>
      </c>
      <c r="AI869" s="53" t="s">
        <v>2686</v>
      </c>
      <c r="AJ869" s="53" t="s">
        <v>1591</v>
      </c>
    </row>
    <row r="870" spans="1:36" s="3" customFormat="1" ht="60" x14ac:dyDescent="0.25">
      <c r="A870" s="17" t="s">
        <v>30</v>
      </c>
      <c r="B870" s="18" t="s">
        <v>37</v>
      </c>
      <c r="C870" s="19" t="s">
        <v>101</v>
      </c>
      <c r="D870" s="45" t="s">
        <v>102</v>
      </c>
      <c r="E870" s="50" t="s">
        <v>103</v>
      </c>
      <c r="F870" s="58" t="s">
        <v>104</v>
      </c>
      <c r="G870" s="51">
        <v>3858528.78</v>
      </c>
      <c r="H870" s="51">
        <v>407960.38</v>
      </c>
      <c r="I870" s="50" t="s">
        <v>105</v>
      </c>
      <c r="J870" s="58" t="s">
        <v>106</v>
      </c>
      <c r="K870" s="52" t="s">
        <v>107</v>
      </c>
      <c r="L870" s="59" t="s">
        <v>2933</v>
      </c>
      <c r="M870" s="60">
        <f>L870+12*30</f>
        <v>42597</v>
      </c>
      <c r="N870" s="51">
        <v>4266489.16</v>
      </c>
      <c r="O870" s="59" t="s">
        <v>44</v>
      </c>
      <c r="P870" s="59" t="s">
        <v>44</v>
      </c>
      <c r="Q870" s="51">
        <v>339416.83</v>
      </c>
      <c r="R870" s="51">
        <f>N870+Q870</f>
        <v>4605905.99</v>
      </c>
      <c r="S870" s="51"/>
      <c r="T870" s="52" t="s">
        <v>52</v>
      </c>
      <c r="U870" s="51">
        <v>64039.77</v>
      </c>
      <c r="V870" s="51" t="s">
        <v>46</v>
      </c>
      <c r="W870" s="51"/>
      <c r="X870" s="51">
        <v>64039.77</v>
      </c>
      <c r="Y870" s="19" t="s">
        <v>212</v>
      </c>
      <c r="Z870" s="19"/>
      <c r="AA870" s="28" t="s">
        <v>7799</v>
      </c>
      <c r="AB870" s="56">
        <v>43417</v>
      </c>
      <c r="AC870" s="28" t="s">
        <v>7800</v>
      </c>
      <c r="AD870" s="28" t="s">
        <v>7801</v>
      </c>
      <c r="AE870" s="54" t="s">
        <v>7802</v>
      </c>
      <c r="AF870" s="54"/>
      <c r="AG870" s="54" t="s">
        <v>7803</v>
      </c>
      <c r="AH870" s="53" t="s">
        <v>1591</v>
      </c>
      <c r="AI870" s="53" t="s">
        <v>2686</v>
      </c>
      <c r="AJ870" s="53" t="s">
        <v>1591</v>
      </c>
    </row>
    <row r="871" spans="1:36" s="3" customFormat="1" ht="72" x14ac:dyDescent="0.25">
      <c r="A871" s="35" t="s">
        <v>30</v>
      </c>
      <c r="B871" s="18" t="s">
        <v>37</v>
      </c>
      <c r="C871" s="19" t="s">
        <v>90</v>
      </c>
      <c r="D871" s="43" t="s">
        <v>91</v>
      </c>
      <c r="E871" s="50" t="s">
        <v>47</v>
      </c>
      <c r="F871" s="36" t="s">
        <v>47</v>
      </c>
      <c r="G871" s="51"/>
      <c r="H871" s="51"/>
      <c r="I871" s="36" t="s">
        <v>92</v>
      </c>
      <c r="J871" s="34" t="s">
        <v>93</v>
      </c>
      <c r="K871" s="37" t="s">
        <v>94</v>
      </c>
      <c r="L871" s="38" t="s">
        <v>3166</v>
      </c>
      <c r="M871" s="39">
        <f>L871+15*30</f>
        <v>42784</v>
      </c>
      <c r="N871" s="42">
        <v>2997275.16</v>
      </c>
      <c r="O871" s="74" t="s">
        <v>44</v>
      </c>
      <c r="P871" s="39">
        <f>M871+15*30</f>
        <v>43234</v>
      </c>
      <c r="Q871" s="41">
        <f>891991.38</f>
        <v>891991.38</v>
      </c>
      <c r="R871" s="51">
        <f>N871+Q871</f>
        <v>3889266.54</v>
      </c>
      <c r="S871" s="51"/>
      <c r="T871" s="52" t="s">
        <v>52</v>
      </c>
      <c r="U871" s="51">
        <v>2246893.7999999998</v>
      </c>
      <c r="V871" s="51" t="s">
        <v>46</v>
      </c>
      <c r="W871" s="42">
        <v>209686.75</v>
      </c>
      <c r="X871" s="42">
        <v>2246893.7999999998</v>
      </c>
      <c r="Y871" s="34" t="s">
        <v>535</v>
      </c>
      <c r="Z871" s="34"/>
      <c r="AA871" s="28" t="s">
        <v>7799</v>
      </c>
      <c r="AB871" s="56">
        <v>43417</v>
      </c>
      <c r="AC871" s="28" t="s">
        <v>7800</v>
      </c>
      <c r="AD871" s="28" t="s">
        <v>7801</v>
      </c>
      <c r="AE871" s="54" t="s">
        <v>7804</v>
      </c>
      <c r="AF871" s="54"/>
      <c r="AG871" s="54" t="s">
        <v>8549</v>
      </c>
      <c r="AH871" s="53" t="s">
        <v>1591</v>
      </c>
      <c r="AI871" s="53" t="s">
        <v>2686</v>
      </c>
      <c r="AJ871" s="53" t="s">
        <v>1591</v>
      </c>
    </row>
    <row r="872" spans="1:36" s="3" customFormat="1" ht="228" x14ac:dyDescent="0.25">
      <c r="A872" s="17" t="s">
        <v>30</v>
      </c>
      <c r="B872" s="18" t="s">
        <v>37</v>
      </c>
      <c r="C872" s="76" t="s">
        <v>5139</v>
      </c>
      <c r="D872" s="45" t="s">
        <v>5140</v>
      </c>
      <c r="E872" s="78" t="s">
        <v>47</v>
      </c>
      <c r="F872" s="79" t="s">
        <v>47</v>
      </c>
      <c r="G872" s="80" t="s">
        <v>47</v>
      </c>
      <c r="H872" s="80" t="s">
        <v>47</v>
      </c>
      <c r="I872" s="78" t="s">
        <v>58</v>
      </c>
      <c r="J872" s="79" t="s">
        <v>5141</v>
      </c>
      <c r="K872" s="81" t="s">
        <v>5142</v>
      </c>
      <c r="L872" s="82">
        <v>41628</v>
      </c>
      <c r="M872" s="83">
        <v>41808</v>
      </c>
      <c r="N872" s="80">
        <v>2310035.42</v>
      </c>
      <c r="O872" s="82" t="s">
        <v>44</v>
      </c>
      <c r="P872" s="84" t="s">
        <v>5143</v>
      </c>
      <c r="Q872" s="80">
        <v>255106.27000000002</v>
      </c>
      <c r="R872" s="80">
        <v>2565141.69</v>
      </c>
      <c r="S872" s="80" t="s">
        <v>39</v>
      </c>
      <c r="T872" s="81" t="s">
        <v>45</v>
      </c>
      <c r="U872" s="80">
        <v>2182701.2999999998</v>
      </c>
      <c r="V872" s="80"/>
      <c r="W872" s="80"/>
      <c r="X872" s="80">
        <v>2182701.2999999998</v>
      </c>
      <c r="Y872" s="76" t="s">
        <v>33</v>
      </c>
      <c r="Z872" s="19" t="s">
        <v>7038</v>
      </c>
      <c r="AA872" s="28" t="s">
        <v>7799</v>
      </c>
      <c r="AB872" s="56">
        <v>43417</v>
      </c>
      <c r="AC872" s="28" t="s">
        <v>7800</v>
      </c>
      <c r="AD872" s="28" t="s">
        <v>7801</v>
      </c>
      <c r="AE872" s="54" t="s">
        <v>7805</v>
      </c>
      <c r="AF872" s="54"/>
      <c r="AG872" s="54" t="s">
        <v>7806</v>
      </c>
      <c r="AH872" s="53" t="s">
        <v>1591</v>
      </c>
      <c r="AI872" s="53" t="s">
        <v>2686</v>
      </c>
      <c r="AJ872" s="53" t="s">
        <v>1591</v>
      </c>
    </row>
    <row r="873" spans="1:36" s="3" customFormat="1" ht="96" x14ac:dyDescent="0.25">
      <c r="A873" s="17" t="s">
        <v>30</v>
      </c>
      <c r="B873" s="18" t="s">
        <v>37</v>
      </c>
      <c r="C873" s="76" t="s">
        <v>77</v>
      </c>
      <c r="D873" s="45" t="s">
        <v>5145</v>
      </c>
      <c r="E873" s="78" t="s">
        <v>47</v>
      </c>
      <c r="F873" s="79" t="s">
        <v>47</v>
      </c>
      <c r="G873" s="80" t="s">
        <v>47</v>
      </c>
      <c r="H873" s="80" t="s">
        <v>47</v>
      </c>
      <c r="I873" s="78" t="s">
        <v>67</v>
      </c>
      <c r="J873" s="79" t="s">
        <v>68</v>
      </c>
      <c r="K873" s="81" t="s">
        <v>78</v>
      </c>
      <c r="L873" s="82">
        <v>41873</v>
      </c>
      <c r="M873" s="83">
        <v>41993</v>
      </c>
      <c r="N873" s="80">
        <v>796584.37</v>
      </c>
      <c r="O873" s="82" t="s">
        <v>44</v>
      </c>
      <c r="P873" s="84" t="s">
        <v>5146</v>
      </c>
      <c r="Q873" s="80">
        <v>198970.47999999998</v>
      </c>
      <c r="R873" s="80">
        <v>995554.85</v>
      </c>
      <c r="S873" s="80" t="s">
        <v>39</v>
      </c>
      <c r="T873" s="81" t="s">
        <v>52</v>
      </c>
      <c r="U873" s="80">
        <v>541919.64</v>
      </c>
      <c r="V873" s="80"/>
      <c r="W873" s="80"/>
      <c r="X873" s="80">
        <v>541919.64</v>
      </c>
      <c r="Y873" s="76" t="s">
        <v>5138</v>
      </c>
      <c r="Z873" s="19" t="s">
        <v>7038</v>
      </c>
      <c r="AA873" s="28" t="s">
        <v>7799</v>
      </c>
      <c r="AB873" s="56">
        <v>43417</v>
      </c>
      <c r="AC873" s="28" t="s">
        <v>7800</v>
      </c>
      <c r="AD873" s="28" t="s">
        <v>7801</v>
      </c>
      <c r="AE873" s="54" t="s">
        <v>7807</v>
      </c>
      <c r="AF873" s="54"/>
      <c r="AG873" s="54" t="s">
        <v>7808</v>
      </c>
      <c r="AH873" s="53" t="s">
        <v>1591</v>
      </c>
      <c r="AI873" s="53" t="s">
        <v>2686</v>
      </c>
      <c r="AJ873" s="53" t="s">
        <v>1591</v>
      </c>
    </row>
    <row r="874" spans="1:36" s="3" customFormat="1" ht="84" x14ac:dyDescent="0.25">
      <c r="A874" s="17" t="s">
        <v>30</v>
      </c>
      <c r="B874" s="18" t="s">
        <v>37</v>
      </c>
      <c r="C874" s="19" t="s">
        <v>74</v>
      </c>
      <c r="D874" s="45" t="s">
        <v>75</v>
      </c>
      <c r="E874" s="50" t="s">
        <v>65</v>
      </c>
      <c r="F874" s="58" t="s">
        <v>66</v>
      </c>
      <c r="G874" s="51">
        <v>490341.56</v>
      </c>
      <c r="H874" s="51">
        <v>91658.44</v>
      </c>
      <c r="I874" s="50" t="s">
        <v>71</v>
      </c>
      <c r="J874" s="58" t="s">
        <v>72</v>
      </c>
      <c r="K874" s="52" t="s">
        <v>76</v>
      </c>
      <c r="L874" s="59" t="s">
        <v>2923</v>
      </c>
      <c r="M874" s="60">
        <f>L874+120</f>
        <v>41993</v>
      </c>
      <c r="N874" s="51">
        <v>582000</v>
      </c>
      <c r="O874" s="59" t="s">
        <v>44</v>
      </c>
      <c r="P874" s="59">
        <f>M874+1110</f>
        <v>43103</v>
      </c>
      <c r="Q874" s="51">
        <f>146411.54</f>
        <v>146411.54</v>
      </c>
      <c r="R874" s="51">
        <f>N874+Q874</f>
        <v>728411.54</v>
      </c>
      <c r="S874" s="51"/>
      <c r="T874" s="52" t="s">
        <v>52</v>
      </c>
      <c r="U874" s="51">
        <v>399912.5</v>
      </c>
      <c r="V874" s="51" t="s">
        <v>46</v>
      </c>
      <c r="W874" s="51"/>
      <c r="X874" s="51">
        <v>399912.5</v>
      </c>
      <c r="Y874" s="19" t="s">
        <v>535</v>
      </c>
      <c r="Z874" s="19"/>
      <c r="AA874" s="28" t="s">
        <v>7799</v>
      </c>
      <c r="AB874" s="56">
        <v>43417</v>
      </c>
      <c r="AC874" s="28" t="s">
        <v>7800</v>
      </c>
      <c r="AD874" s="28" t="s">
        <v>7801</v>
      </c>
      <c r="AE874" s="54" t="s">
        <v>7809</v>
      </c>
      <c r="AF874" s="54"/>
      <c r="AG874" s="54" t="s">
        <v>7810</v>
      </c>
      <c r="AH874" s="53" t="s">
        <v>1591</v>
      </c>
      <c r="AI874" s="53" t="s">
        <v>2686</v>
      </c>
      <c r="AJ874" s="53" t="s">
        <v>1591</v>
      </c>
    </row>
    <row r="875" spans="1:36" s="3" customFormat="1" ht="120" x14ac:dyDescent="0.25">
      <c r="A875" s="35" t="s">
        <v>30</v>
      </c>
      <c r="B875" s="18" t="s">
        <v>37</v>
      </c>
      <c r="C875" s="19" t="s">
        <v>95</v>
      </c>
      <c r="D875" s="43" t="s">
        <v>96</v>
      </c>
      <c r="E875" s="50" t="s">
        <v>47</v>
      </c>
      <c r="F875" s="36" t="s">
        <v>47</v>
      </c>
      <c r="G875" s="51"/>
      <c r="H875" s="51"/>
      <c r="I875" s="36" t="s">
        <v>97</v>
      </c>
      <c r="J875" s="34" t="s">
        <v>98</v>
      </c>
      <c r="K875" s="37" t="s">
        <v>99</v>
      </c>
      <c r="L875" s="38" t="s">
        <v>2795</v>
      </c>
      <c r="M875" s="39">
        <f>L875+90</f>
        <v>42369</v>
      </c>
      <c r="N875" s="42">
        <v>495641.14</v>
      </c>
      <c r="O875" s="74" t="s">
        <v>44</v>
      </c>
      <c r="P875" s="39" t="s">
        <v>44</v>
      </c>
      <c r="Q875" s="41"/>
      <c r="R875" s="51">
        <f>N875+Q875</f>
        <v>495641.14</v>
      </c>
      <c r="S875" s="51"/>
      <c r="T875" s="52" t="s">
        <v>52</v>
      </c>
      <c r="U875" s="51">
        <v>348089.74</v>
      </c>
      <c r="V875" s="51" t="s">
        <v>46</v>
      </c>
      <c r="W875" s="42"/>
      <c r="X875" s="42">
        <v>348089.74</v>
      </c>
      <c r="Y875" s="34" t="s">
        <v>212</v>
      </c>
      <c r="Z875" s="34"/>
      <c r="AA875" s="28" t="s">
        <v>7799</v>
      </c>
      <c r="AB875" s="56">
        <v>43417</v>
      </c>
      <c r="AC875" s="28" t="s">
        <v>7800</v>
      </c>
      <c r="AD875" s="28" t="s">
        <v>7801</v>
      </c>
      <c r="AE875" s="54" t="s">
        <v>7811</v>
      </c>
      <c r="AF875" s="54"/>
      <c r="AG875" s="54" t="s">
        <v>7812</v>
      </c>
      <c r="AH875" s="53" t="s">
        <v>1591</v>
      </c>
      <c r="AI875" s="53" t="s">
        <v>2686</v>
      </c>
      <c r="AJ875" s="53" t="s">
        <v>1591</v>
      </c>
    </row>
    <row r="876" spans="1:36" s="3" customFormat="1" ht="96" x14ac:dyDescent="0.25">
      <c r="A876" s="17" t="s">
        <v>30</v>
      </c>
      <c r="B876" s="18" t="s">
        <v>37</v>
      </c>
      <c r="C876" s="19" t="s">
        <v>109</v>
      </c>
      <c r="D876" s="45" t="s">
        <v>110</v>
      </c>
      <c r="E876" s="50" t="s">
        <v>111</v>
      </c>
      <c r="F876" s="58" t="s">
        <v>112</v>
      </c>
      <c r="G876" s="51">
        <v>182956.66</v>
      </c>
      <c r="H876" s="51">
        <v>16960.84</v>
      </c>
      <c r="I876" s="50" t="s">
        <v>92</v>
      </c>
      <c r="J876" s="58" t="s">
        <v>93</v>
      </c>
      <c r="K876" s="52" t="s">
        <v>113</v>
      </c>
      <c r="L876" s="59" t="s">
        <v>2882</v>
      </c>
      <c r="M876" s="60">
        <f>L876+60</f>
        <v>42041</v>
      </c>
      <c r="N876" s="51">
        <v>199917.5</v>
      </c>
      <c r="O876" s="59" t="s">
        <v>44</v>
      </c>
      <c r="P876" s="59">
        <f>M876+13*2*30</f>
        <v>42821</v>
      </c>
      <c r="Q876" s="51">
        <v>49882.84</v>
      </c>
      <c r="R876" s="51">
        <f>N876+Q876</f>
        <v>249800.34</v>
      </c>
      <c r="S876" s="51"/>
      <c r="T876" s="52" t="s">
        <v>52</v>
      </c>
      <c r="U876" s="51">
        <v>90495.19</v>
      </c>
      <c r="V876" s="51" t="s">
        <v>46</v>
      </c>
      <c r="W876" s="51"/>
      <c r="X876" s="51">
        <v>90495.19</v>
      </c>
      <c r="Y876" s="19" t="s">
        <v>535</v>
      </c>
      <c r="Z876" s="19"/>
      <c r="AA876" s="28" t="s">
        <v>7799</v>
      </c>
      <c r="AB876" s="56">
        <v>43417</v>
      </c>
      <c r="AC876" s="28" t="s">
        <v>7800</v>
      </c>
      <c r="AD876" s="28" t="s">
        <v>7801</v>
      </c>
      <c r="AE876" s="54" t="s">
        <v>7813</v>
      </c>
      <c r="AF876" s="54"/>
      <c r="AG876" s="54" t="s">
        <v>7814</v>
      </c>
      <c r="AH876" s="53" t="s">
        <v>1591</v>
      </c>
      <c r="AI876" s="53" t="s">
        <v>2686</v>
      </c>
      <c r="AJ876" s="53" t="s">
        <v>1591</v>
      </c>
    </row>
    <row r="877" spans="1:36" s="3" customFormat="1" ht="48" x14ac:dyDescent="0.25">
      <c r="A877" s="35" t="s">
        <v>2791</v>
      </c>
      <c r="B877" s="18" t="s">
        <v>37</v>
      </c>
      <c r="C877" s="76"/>
      <c r="D877" s="43" t="s">
        <v>5147</v>
      </c>
      <c r="E877" s="78"/>
      <c r="F877" s="36" t="s">
        <v>70</v>
      </c>
      <c r="G877" s="80"/>
      <c r="H877" s="80"/>
      <c r="I877" s="36" t="s">
        <v>1292</v>
      </c>
      <c r="J877" s="34" t="s">
        <v>2078</v>
      </c>
      <c r="K877" s="37"/>
      <c r="L877" s="38">
        <v>42157</v>
      </c>
      <c r="M877" s="39">
        <v>42337</v>
      </c>
      <c r="N877" s="42">
        <v>1628863.26</v>
      </c>
      <c r="O877" s="85"/>
      <c r="P877" s="86">
        <v>42337</v>
      </c>
      <c r="Q877" s="41"/>
      <c r="R877" s="41">
        <v>1628863.26</v>
      </c>
      <c r="S877" s="80"/>
      <c r="T877" s="81"/>
      <c r="U877" s="80"/>
      <c r="V877" s="80"/>
      <c r="W877" s="42"/>
      <c r="X877" s="42"/>
      <c r="Y877" s="34" t="s">
        <v>4321</v>
      </c>
      <c r="Z877" s="19" t="s">
        <v>7038</v>
      </c>
      <c r="AA877" s="28" t="s">
        <v>8454</v>
      </c>
      <c r="AB877" s="56">
        <v>43411</v>
      </c>
      <c r="AC877" s="28" t="s">
        <v>7815</v>
      </c>
      <c r="AD877" s="28" t="s">
        <v>7816</v>
      </c>
      <c r="AE877" s="54" t="s">
        <v>7817</v>
      </c>
      <c r="AF877" s="54"/>
      <c r="AG877" s="54" t="s">
        <v>7818</v>
      </c>
      <c r="AH877" s="53" t="s">
        <v>1591</v>
      </c>
      <c r="AI877" s="53" t="s">
        <v>2686</v>
      </c>
      <c r="AJ877" s="53" t="s">
        <v>1591</v>
      </c>
    </row>
    <row r="878" spans="1:36" s="3" customFormat="1" ht="48" x14ac:dyDescent="0.25">
      <c r="A878" s="17" t="s">
        <v>2791</v>
      </c>
      <c r="B878" s="18" t="s">
        <v>37</v>
      </c>
      <c r="C878" s="19" t="s">
        <v>2981</v>
      </c>
      <c r="D878" s="45" t="s">
        <v>2982</v>
      </c>
      <c r="E878" s="50"/>
      <c r="F878" s="58" t="s">
        <v>2077</v>
      </c>
      <c r="G878" s="51">
        <v>1644859.16</v>
      </c>
      <c r="H878" s="51" t="s">
        <v>46</v>
      </c>
      <c r="I878" s="50" t="s">
        <v>1292</v>
      </c>
      <c r="J878" s="58" t="s">
        <v>2078</v>
      </c>
      <c r="K878" s="52" t="s">
        <v>86</v>
      </c>
      <c r="L878" s="59">
        <v>42370</v>
      </c>
      <c r="M878" s="60">
        <f>L878+180</f>
        <v>42550</v>
      </c>
      <c r="N878" s="51">
        <v>1644859.16</v>
      </c>
      <c r="O878" s="59"/>
      <c r="P878" s="59" t="s">
        <v>662</v>
      </c>
      <c r="Q878" s="51">
        <f>1628863.26-N878</f>
        <v>-15995.899999999907</v>
      </c>
      <c r="R878" s="51">
        <f t="shared" ref="R878:R881" si="37">N878+Q878</f>
        <v>1628863.26</v>
      </c>
      <c r="S878" s="51"/>
      <c r="T878" s="52">
        <v>44905100</v>
      </c>
      <c r="U878" s="51">
        <v>605365.24</v>
      </c>
      <c r="V878" s="51">
        <v>605365.24</v>
      </c>
      <c r="W878" s="51">
        <v>605365.24</v>
      </c>
      <c r="X878" s="51">
        <v>605365.24</v>
      </c>
      <c r="Y878" s="19" t="s">
        <v>2311</v>
      </c>
      <c r="Z878" s="19"/>
      <c r="AA878" s="28" t="s">
        <v>8454</v>
      </c>
      <c r="AB878" s="56">
        <v>43411</v>
      </c>
      <c r="AC878" s="28" t="s">
        <v>7815</v>
      </c>
      <c r="AD878" s="28" t="s">
        <v>7816</v>
      </c>
      <c r="AE878" s="54" t="s">
        <v>7817</v>
      </c>
      <c r="AF878" s="54"/>
      <c r="AG878" s="54" t="s">
        <v>7818</v>
      </c>
      <c r="AH878" s="53" t="s">
        <v>1591</v>
      </c>
      <c r="AI878" s="53" t="s">
        <v>2686</v>
      </c>
      <c r="AJ878" s="53" t="s">
        <v>1591</v>
      </c>
    </row>
    <row r="879" spans="1:36" s="3" customFormat="1" ht="48" x14ac:dyDescent="0.25">
      <c r="A879" s="17" t="s">
        <v>2791</v>
      </c>
      <c r="B879" s="18" t="s">
        <v>37</v>
      </c>
      <c r="C879" s="19" t="s">
        <v>2983</v>
      </c>
      <c r="D879" s="45" t="s">
        <v>2985</v>
      </c>
      <c r="E879" s="50"/>
      <c r="F879" s="58" t="s">
        <v>2075</v>
      </c>
      <c r="G879" s="51">
        <v>1301706.81</v>
      </c>
      <c r="H879" s="51" t="s">
        <v>46</v>
      </c>
      <c r="I879" s="50" t="s">
        <v>1292</v>
      </c>
      <c r="J879" s="58" t="s">
        <v>2078</v>
      </c>
      <c r="K879" s="52" t="s">
        <v>1593</v>
      </c>
      <c r="L879" s="59">
        <v>41869</v>
      </c>
      <c r="M879" s="60">
        <f>L879+240</f>
        <v>42109</v>
      </c>
      <c r="N879" s="51">
        <v>1301280</v>
      </c>
      <c r="O879" s="59"/>
      <c r="P879" s="59">
        <f>M879+480</f>
        <v>42589</v>
      </c>
      <c r="Q879" s="51">
        <f>1208132.58-N879</f>
        <v>-93147.419999999925</v>
      </c>
      <c r="R879" s="51">
        <f t="shared" si="37"/>
        <v>1208132.58</v>
      </c>
      <c r="S879" s="51"/>
      <c r="T879" s="52">
        <v>44905100</v>
      </c>
      <c r="U879" s="51">
        <v>202911.11</v>
      </c>
      <c r="V879" s="51">
        <v>202911.11</v>
      </c>
      <c r="W879" s="51">
        <v>202911.11</v>
      </c>
      <c r="X879" s="51">
        <v>202911.11</v>
      </c>
      <c r="Y879" s="19" t="s">
        <v>2311</v>
      </c>
      <c r="Z879" s="19"/>
      <c r="AA879" s="28" t="s">
        <v>8454</v>
      </c>
      <c r="AB879" s="56">
        <v>43411</v>
      </c>
      <c r="AC879" s="28" t="s">
        <v>7815</v>
      </c>
      <c r="AD879" s="28" t="s">
        <v>7816</v>
      </c>
      <c r="AE879" s="54" t="s">
        <v>7817</v>
      </c>
      <c r="AF879" s="54"/>
      <c r="AG879" s="54" t="s">
        <v>7818</v>
      </c>
      <c r="AH879" s="53" t="s">
        <v>1591</v>
      </c>
      <c r="AI879" s="53" t="s">
        <v>2686</v>
      </c>
      <c r="AJ879" s="53" t="s">
        <v>1591</v>
      </c>
    </row>
    <row r="880" spans="1:36" s="3" customFormat="1" ht="48" x14ac:dyDescent="0.25">
      <c r="A880" s="17" t="s">
        <v>2791</v>
      </c>
      <c r="B880" s="18" t="s">
        <v>37</v>
      </c>
      <c r="C880" s="19" t="s">
        <v>2983</v>
      </c>
      <c r="D880" s="45" t="s">
        <v>2984</v>
      </c>
      <c r="E880" s="50"/>
      <c r="F880" s="58" t="s">
        <v>2077</v>
      </c>
      <c r="G880" s="51">
        <v>1066465.52</v>
      </c>
      <c r="H880" s="51" t="s">
        <v>46</v>
      </c>
      <c r="I880" s="50" t="s">
        <v>1292</v>
      </c>
      <c r="J880" s="58" t="s">
        <v>2078</v>
      </c>
      <c r="K880" s="52" t="s">
        <v>86</v>
      </c>
      <c r="L880" s="59">
        <v>42005</v>
      </c>
      <c r="M880" s="60">
        <f>L880+180</f>
        <v>42185</v>
      </c>
      <c r="N880" s="51">
        <v>930917.04</v>
      </c>
      <c r="O880" s="59"/>
      <c r="P880" s="59" t="s">
        <v>662</v>
      </c>
      <c r="Q880" s="51">
        <f>930717.04-N880</f>
        <v>-200</v>
      </c>
      <c r="R880" s="51">
        <f t="shared" si="37"/>
        <v>930717.04</v>
      </c>
      <c r="S880" s="51"/>
      <c r="T880" s="52">
        <v>44905100</v>
      </c>
      <c r="U880" s="51">
        <v>680055.82</v>
      </c>
      <c r="V880" s="51">
        <v>680055.82</v>
      </c>
      <c r="W880" s="51">
        <v>680055.82</v>
      </c>
      <c r="X880" s="51">
        <v>680055.82</v>
      </c>
      <c r="Y880" s="19" t="s">
        <v>2311</v>
      </c>
      <c r="Z880" s="19"/>
      <c r="AA880" s="28" t="s">
        <v>8454</v>
      </c>
      <c r="AB880" s="56">
        <v>43411</v>
      </c>
      <c r="AC880" s="28" t="s">
        <v>7815</v>
      </c>
      <c r="AD880" s="28" t="s">
        <v>7816</v>
      </c>
      <c r="AE880" s="54" t="s">
        <v>7817</v>
      </c>
      <c r="AF880" s="54"/>
      <c r="AG880" s="54" t="s">
        <v>7818</v>
      </c>
      <c r="AH880" s="53" t="s">
        <v>1591</v>
      </c>
      <c r="AI880" s="53" t="s">
        <v>2686</v>
      </c>
      <c r="AJ880" s="53" t="s">
        <v>1591</v>
      </c>
    </row>
    <row r="881" spans="1:36" s="3" customFormat="1" ht="108" x14ac:dyDescent="0.25">
      <c r="A881" s="17" t="s">
        <v>2809</v>
      </c>
      <c r="B881" s="18" t="s">
        <v>37</v>
      </c>
      <c r="C881" s="19" t="s">
        <v>3013</v>
      </c>
      <c r="D881" s="45" t="s">
        <v>3014</v>
      </c>
      <c r="E881" s="50" t="s">
        <v>3186</v>
      </c>
      <c r="F881" s="58" t="s">
        <v>3187</v>
      </c>
      <c r="G881" s="51">
        <v>4875000</v>
      </c>
      <c r="H881" s="51">
        <v>1350604.03</v>
      </c>
      <c r="I881" s="50" t="s">
        <v>3188</v>
      </c>
      <c r="J881" s="58" t="s">
        <v>3189</v>
      </c>
      <c r="K881" s="52" t="s">
        <v>1143</v>
      </c>
      <c r="L881" s="59">
        <v>42156</v>
      </c>
      <c r="M881" s="60">
        <f>L881+365</f>
        <v>42521</v>
      </c>
      <c r="N881" s="51">
        <v>6225604.0300000003</v>
      </c>
      <c r="O881" s="59"/>
      <c r="P881" s="59"/>
      <c r="Q881" s="51">
        <v>838697.96</v>
      </c>
      <c r="R881" s="51">
        <f t="shared" si="37"/>
        <v>7064301.9900000002</v>
      </c>
      <c r="S881" s="51"/>
      <c r="T881" s="52" t="s">
        <v>32</v>
      </c>
      <c r="U881" s="51"/>
      <c r="V881" s="51"/>
      <c r="W881" s="51"/>
      <c r="X881" s="51">
        <v>1555452.7</v>
      </c>
      <c r="Y881" s="19" t="s">
        <v>3340</v>
      </c>
      <c r="Z881" s="19"/>
      <c r="AA881" s="28"/>
      <c r="AB881" s="56"/>
      <c r="AC881" s="28"/>
      <c r="AD881" s="28"/>
      <c r="AE881" s="54"/>
      <c r="AF881" s="54"/>
      <c r="AG881" s="54"/>
      <c r="AH881" s="53"/>
      <c r="AI881" s="53" t="s">
        <v>1591</v>
      </c>
      <c r="AJ881" s="53" t="s">
        <v>1591</v>
      </c>
    </row>
    <row r="882" spans="1:36" s="3" customFormat="1" ht="84" x14ac:dyDescent="0.25">
      <c r="A882" s="35" t="s">
        <v>2809</v>
      </c>
      <c r="B882" s="18" t="s">
        <v>37</v>
      </c>
      <c r="C882" s="76"/>
      <c r="D882" s="43" t="s">
        <v>5148</v>
      </c>
      <c r="E882" s="78"/>
      <c r="F882" s="36"/>
      <c r="G882" s="80"/>
      <c r="H882" s="80"/>
      <c r="I882" s="36" t="s">
        <v>639</v>
      </c>
      <c r="J882" s="34" t="s">
        <v>5149</v>
      </c>
      <c r="K882" s="37" t="s">
        <v>2442</v>
      </c>
      <c r="L882" s="38">
        <v>41815</v>
      </c>
      <c r="M882" s="39">
        <v>42175</v>
      </c>
      <c r="N882" s="42">
        <v>3789999.95</v>
      </c>
      <c r="O882" s="85"/>
      <c r="P882" s="86">
        <v>42835</v>
      </c>
      <c r="Q882" s="41"/>
      <c r="R882" s="41">
        <v>3789999.95</v>
      </c>
      <c r="S882" s="80"/>
      <c r="T882" s="81"/>
      <c r="U882" s="80"/>
      <c r="V882" s="80"/>
      <c r="W882" s="42"/>
      <c r="X882" s="42"/>
      <c r="Y882" s="34" t="s">
        <v>4321</v>
      </c>
      <c r="Z882" s="19" t="s">
        <v>7038</v>
      </c>
      <c r="AA882" s="28"/>
      <c r="AB882" s="56"/>
      <c r="AC882" s="28"/>
      <c r="AD882" s="28"/>
      <c r="AE882" s="54"/>
      <c r="AF882" s="54"/>
      <c r="AG882" s="54"/>
      <c r="AH882" s="53"/>
      <c r="AI882" s="53" t="s">
        <v>1591</v>
      </c>
      <c r="AJ882" s="53" t="s">
        <v>1591</v>
      </c>
    </row>
    <row r="883" spans="1:36" s="3" customFormat="1" ht="108" x14ac:dyDescent="0.25">
      <c r="A883" s="17" t="s">
        <v>2809</v>
      </c>
      <c r="B883" s="18" t="s">
        <v>37</v>
      </c>
      <c r="C883" s="19" t="s">
        <v>2988</v>
      </c>
      <c r="D883" s="45" t="s">
        <v>2989</v>
      </c>
      <c r="E883" s="50"/>
      <c r="F883" s="58" t="s">
        <v>43</v>
      </c>
      <c r="G883" s="51"/>
      <c r="H883" s="51"/>
      <c r="I883" s="50" t="s">
        <v>2748</v>
      </c>
      <c r="J883" s="58" t="s">
        <v>3170</v>
      </c>
      <c r="K883" s="52" t="s">
        <v>2814</v>
      </c>
      <c r="L883" s="59">
        <v>40868</v>
      </c>
      <c r="M883" s="60">
        <f>L883+9*30</f>
        <v>41138</v>
      </c>
      <c r="N883" s="51">
        <v>2236484.88</v>
      </c>
      <c r="O883" s="59">
        <v>41142</v>
      </c>
      <c r="P883" s="59">
        <f>M883+3*12*30+6*30</f>
        <v>42398</v>
      </c>
      <c r="Q883" s="51">
        <v>0</v>
      </c>
      <c r="R883" s="51">
        <f>N883+Q883</f>
        <v>2236484.88</v>
      </c>
      <c r="S883" s="51"/>
      <c r="T883" s="52" t="s">
        <v>32</v>
      </c>
      <c r="U883" s="51"/>
      <c r="V883" s="51">
        <v>0</v>
      </c>
      <c r="W883" s="51">
        <v>0</v>
      </c>
      <c r="X883" s="51"/>
      <c r="Y883" s="19" t="s">
        <v>3340</v>
      </c>
      <c r="Z883" s="19"/>
      <c r="AA883" s="28"/>
      <c r="AB883" s="56"/>
      <c r="AC883" s="28"/>
      <c r="AD883" s="28"/>
      <c r="AE883" s="54"/>
      <c r="AF883" s="54"/>
      <c r="AG883" s="54"/>
      <c r="AH883" s="53"/>
      <c r="AI883" s="53" t="s">
        <v>1591</v>
      </c>
      <c r="AJ883" s="53" t="s">
        <v>1591</v>
      </c>
    </row>
    <row r="884" spans="1:36" s="3" customFormat="1" ht="96" x14ac:dyDescent="0.25">
      <c r="A884" s="17" t="s">
        <v>2809</v>
      </c>
      <c r="B884" s="18" t="s">
        <v>37</v>
      </c>
      <c r="C884" s="19" t="s">
        <v>3017</v>
      </c>
      <c r="D884" s="45" t="s">
        <v>3018</v>
      </c>
      <c r="E884" s="50"/>
      <c r="F884" s="58" t="s">
        <v>874</v>
      </c>
      <c r="G884" s="51">
        <v>1482099.99</v>
      </c>
      <c r="H884" s="51">
        <v>407398.74</v>
      </c>
      <c r="I884" s="50" t="s">
        <v>3184</v>
      </c>
      <c r="J884" s="58" t="s">
        <v>3185</v>
      </c>
      <c r="K884" s="52" t="s">
        <v>2813</v>
      </c>
      <c r="L884" s="59">
        <v>42299</v>
      </c>
      <c r="M884" s="60">
        <f>L884+120</f>
        <v>42419</v>
      </c>
      <c r="N884" s="51">
        <v>1889498.73</v>
      </c>
      <c r="O884" s="59"/>
      <c r="P884" s="59"/>
      <c r="Q884" s="51"/>
      <c r="R884" s="51">
        <f>N884+Q884</f>
        <v>1889498.73</v>
      </c>
      <c r="S884" s="51"/>
      <c r="T884" s="52" t="s">
        <v>32</v>
      </c>
      <c r="U884" s="51"/>
      <c r="V884" s="51"/>
      <c r="W884" s="51"/>
      <c r="X884" s="51"/>
      <c r="Y884" s="19" t="s">
        <v>3345</v>
      </c>
      <c r="Z884" s="19"/>
      <c r="AA884" s="28"/>
      <c r="AB884" s="56"/>
      <c r="AC884" s="28"/>
      <c r="AD884" s="28"/>
      <c r="AE884" s="54"/>
      <c r="AF884" s="54"/>
      <c r="AG884" s="54"/>
      <c r="AH884" s="53"/>
      <c r="AI884" s="53" t="s">
        <v>1591</v>
      </c>
      <c r="AJ884" s="53" t="s">
        <v>1591</v>
      </c>
    </row>
    <row r="885" spans="1:36" s="3" customFormat="1" ht="60" x14ac:dyDescent="0.25">
      <c r="A885" s="17" t="s">
        <v>2809</v>
      </c>
      <c r="B885" s="18" t="s">
        <v>37</v>
      </c>
      <c r="C885" s="19" t="s">
        <v>3007</v>
      </c>
      <c r="D885" s="45" t="s">
        <v>3008</v>
      </c>
      <c r="E885" s="50" t="s">
        <v>3177</v>
      </c>
      <c r="F885" s="58" t="s">
        <v>3178</v>
      </c>
      <c r="G885" s="51">
        <v>1812041.43</v>
      </c>
      <c r="H885" s="51">
        <v>0</v>
      </c>
      <c r="I885" s="50" t="s">
        <v>3179</v>
      </c>
      <c r="J885" s="58" t="s">
        <v>3180</v>
      </c>
      <c r="K885" s="52" t="s">
        <v>3181</v>
      </c>
      <c r="L885" s="59">
        <v>41641</v>
      </c>
      <c r="M885" s="60">
        <f>L885+300</f>
        <v>41941</v>
      </c>
      <c r="N885" s="51">
        <v>1812041.43</v>
      </c>
      <c r="O885" s="59">
        <v>42553</v>
      </c>
      <c r="P885" s="59">
        <f>M885+30*30</f>
        <v>42841</v>
      </c>
      <c r="Q885" s="51">
        <v>23981.75</v>
      </c>
      <c r="R885" s="51">
        <f>N885+Q885</f>
        <v>1836023.18</v>
      </c>
      <c r="S885" s="51"/>
      <c r="T885" s="52" t="s">
        <v>32</v>
      </c>
      <c r="U885" s="51"/>
      <c r="V885" s="51"/>
      <c r="W885" s="51"/>
      <c r="X885" s="51">
        <v>503958.85</v>
      </c>
      <c r="Y885" s="19" t="s">
        <v>3342</v>
      </c>
      <c r="Z885" s="19"/>
      <c r="AA885" s="28"/>
      <c r="AB885" s="56"/>
      <c r="AC885" s="28"/>
      <c r="AD885" s="28"/>
      <c r="AE885" s="54"/>
      <c r="AF885" s="54"/>
      <c r="AG885" s="54"/>
      <c r="AH885" s="53"/>
      <c r="AI885" s="53" t="s">
        <v>1591</v>
      </c>
      <c r="AJ885" s="53" t="s">
        <v>1591</v>
      </c>
    </row>
    <row r="886" spans="1:36" s="3" customFormat="1" ht="36" x14ac:dyDescent="0.25">
      <c r="A886" s="35" t="s">
        <v>2809</v>
      </c>
      <c r="B886" s="18" t="s">
        <v>37</v>
      </c>
      <c r="C886" s="76"/>
      <c r="D886" s="43" t="s">
        <v>5150</v>
      </c>
      <c r="E886" s="78"/>
      <c r="F886" s="36" t="s">
        <v>1249</v>
      </c>
      <c r="G886" s="80"/>
      <c r="H886" s="80"/>
      <c r="I886" s="36" t="s">
        <v>5151</v>
      </c>
      <c r="J886" s="34" t="s">
        <v>5152</v>
      </c>
      <c r="K886" s="37" t="s">
        <v>2049</v>
      </c>
      <c r="L886" s="38">
        <v>42138</v>
      </c>
      <c r="M886" s="39">
        <v>42258</v>
      </c>
      <c r="N886" s="42">
        <v>1710341.53</v>
      </c>
      <c r="O886" s="85">
        <v>42259</v>
      </c>
      <c r="P886" s="86">
        <v>42258</v>
      </c>
      <c r="Q886" s="41"/>
      <c r="R886" s="41">
        <v>1710341.53</v>
      </c>
      <c r="S886" s="80"/>
      <c r="T886" s="81"/>
      <c r="U886" s="80"/>
      <c r="V886" s="80"/>
      <c r="W886" s="42"/>
      <c r="X886" s="42"/>
      <c r="Y886" s="34" t="s">
        <v>4321</v>
      </c>
      <c r="Z886" s="19" t="s">
        <v>7038</v>
      </c>
      <c r="AA886" s="28"/>
      <c r="AB886" s="56"/>
      <c r="AC886" s="28"/>
      <c r="AD886" s="28"/>
      <c r="AE886" s="54"/>
      <c r="AF886" s="54"/>
      <c r="AG886" s="54"/>
      <c r="AH886" s="53"/>
      <c r="AI886" s="53" t="s">
        <v>1591</v>
      </c>
      <c r="AJ886" s="53" t="s">
        <v>1591</v>
      </c>
    </row>
    <row r="887" spans="1:36" s="3" customFormat="1" ht="96" x14ac:dyDescent="0.25">
      <c r="A887" s="17" t="s">
        <v>2809</v>
      </c>
      <c r="B887" s="18" t="s">
        <v>37</v>
      </c>
      <c r="C887" s="19" t="s">
        <v>3009</v>
      </c>
      <c r="D887" s="45" t="s">
        <v>3010</v>
      </c>
      <c r="E887" s="50" t="s">
        <v>1061</v>
      </c>
      <c r="F887" s="58" t="s">
        <v>661</v>
      </c>
      <c r="G887" s="51">
        <v>1666963.33</v>
      </c>
      <c r="H887" s="51">
        <v>34446.410000000003</v>
      </c>
      <c r="I887" s="50" t="s">
        <v>888</v>
      </c>
      <c r="J887" s="58" t="s">
        <v>3182</v>
      </c>
      <c r="K887" s="52" t="s">
        <v>2810</v>
      </c>
      <c r="L887" s="59">
        <v>41925</v>
      </c>
      <c r="M887" s="60">
        <f>L887+180</f>
        <v>42105</v>
      </c>
      <c r="N887" s="51">
        <v>1701409.74</v>
      </c>
      <c r="O887" s="59">
        <v>42107</v>
      </c>
      <c r="P887" s="59"/>
      <c r="Q887" s="51"/>
      <c r="R887" s="51">
        <f>N887+Q887</f>
        <v>1701409.74</v>
      </c>
      <c r="S887" s="51"/>
      <c r="T887" s="52" t="s">
        <v>32</v>
      </c>
      <c r="U887" s="51"/>
      <c r="V887" s="51"/>
      <c r="W887" s="51"/>
      <c r="X887" s="51"/>
      <c r="Y887" s="19" t="s">
        <v>3343</v>
      </c>
      <c r="Z887" s="19"/>
      <c r="AA887" s="28"/>
      <c r="AB887" s="56"/>
      <c r="AC887" s="28"/>
      <c r="AD887" s="28"/>
      <c r="AE887" s="54"/>
      <c r="AF887" s="54"/>
      <c r="AG887" s="54"/>
      <c r="AH887" s="53"/>
      <c r="AI887" s="53" t="s">
        <v>1591</v>
      </c>
      <c r="AJ887" s="53" t="s">
        <v>1591</v>
      </c>
    </row>
    <row r="888" spans="1:36" s="3" customFormat="1" ht="108" x14ac:dyDescent="0.25">
      <c r="A888" s="17" t="s">
        <v>2809</v>
      </c>
      <c r="B888" s="18" t="s">
        <v>37</v>
      </c>
      <c r="C888" s="19" t="s">
        <v>2986</v>
      </c>
      <c r="D888" s="45" t="s">
        <v>2987</v>
      </c>
      <c r="E888" s="50"/>
      <c r="F888" s="58" t="s">
        <v>43</v>
      </c>
      <c r="G888" s="51">
        <v>636609.94999999995</v>
      </c>
      <c r="H888" s="51">
        <v>637195.82999999996</v>
      </c>
      <c r="I888" s="50" t="s">
        <v>138</v>
      </c>
      <c r="J888" s="58" t="s">
        <v>3168</v>
      </c>
      <c r="K888" s="52" t="s">
        <v>3169</v>
      </c>
      <c r="L888" s="59">
        <v>42678</v>
      </c>
      <c r="M888" s="60">
        <f>L888+120</f>
        <v>42798</v>
      </c>
      <c r="N888" s="51">
        <v>1273805.78</v>
      </c>
      <c r="O888" s="59">
        <v>42798</v>
      </c>
      <c r="P888" s="59" t="s">
        <v>3302</v>
      </c>
      <c r="Q888" s="51">
        <v>0</v>
      </c>
      <c r="R888" s="51">
        <f>N888+Q888</f>
        <v>1273805.78</v>
      </c>
      <c r="S888" s="51"/>
      <c r="T888" s="52" t="s">
        <v>32</v>
      </c>
      <c r="U888" s="51">
        <v>0</v>
      </c>
      <c r="V888" s="51">
        <v>0</v>
      </c>
      <c r="W888" s="51">
        <v>0</v>
      </c>
      <c r="X888" s="51">
        <v>0</v>
      </c>
      <c r="Y888" s="19" t="s">
        <v>3340</v>
      </c>
      <c r="Z888" s="19"/>
      <c r="AA888" s="28"/>
      <c r="AB888" s="56"/>
      <c r="AC888" s="28"/>
      <c r="AD888" s="28"/>
      <c r="AE888" s="54"/>
      <c r="AF888" s="54"/>
      <c r="AG888" s="54"/>
      <c r="AH888" s="53"/>
      <c r="AI888" s="53" t="s">
        <v>1591</v>
      </c>
      <c r="AJ888" s="53" t="s">
        <v>1591</v>
      </c>
    </row>
    <row r="889" spans="1:36" s="3" customFormat="1" ht="48" x14ac:dyDescent="0.25">
      <c r="A889" s="35" t="s">
        <v>2809</v>
      </c>
      <c r="B889" s="18" t="s">
        <v>37</v>
      </c>
      <c r="C889" s="76" t="s">
        <v>128</v>
      </c>
      <c r="D889" s="45" t="s">
        <v>5153</v>
      </c>
      <c r="E889" s="78"/>
      <c r="F889" s="79" t="s">
        <v>43</v>
      </c>
      <c r="G889" s="80">
        <v>636609.94999999995</v>
      </c>
      <c r="H889" s="80">
        <v>678200.03</v>
      </c>
      <c r="I889" s="78" t="s">
        <v>129</v>
      </c>
      <c r="J889" s="79" t="s">
        <v>5154</v>
      </c>
      <c r="K889" s="81" t="s">
        <v>130</v>
      </c>
      <c r="L889" s="82">
        <v>42389</v>
      </c>
      <c r="M889" s="83">
        <v>42539</v>
      </c>
      <c r="N889" s="80">
        <v>1272735.1200000001</v>
      </c>
      <c r="O889" s="82">
        <v>42542</v>
      </c>
      <c r="P889" s="84" t="s">
        <v>131</v>
      </c>
      <c r="Q889" s="80">
        <v>0</v>
      </c>
      <c r="R889" s="80">
        <v>1272735.1200000001</v>
      </c>
      <c r="S889" s="80"/>
      <c r="T889" s="81" t="s">
        <v>132</v>
      </c>
      <c r="U889" s="80">
        <v>836101.49</v>
      </c>
      <c r="V889" s="80"/>
      <c r="W889" s="80"/>
      <c r="X889" s="80">
        <v>686326.68</v>
      </c>
      <c r="Y889" s="76" t="s">
        <v>133</v>
      </c>
      <c r="Z889" s="19" t="s">
        <v>7038</v>
      </c>
      <c r="AA889" s="28"/>
      <c r="AB889" s="56"/>
      <c r="AC889" s="28"/>
      <c r="AD889" s="28"/>
      <c r="AE889" s="54"/>
      <c r="AF889" s="54"/>
      <c r="AG889" s="54"/>
      <c r="AH889" s="53"/>
      <c r="AI889" s="53" t="s">
        <v>1591</v>
      </c>
      <c r="AJ889" s="53" t="s">
        <v>1591</v>
      </c>
    </row>
    <row r="890" spans="1:36" s="3" customFormat="1" ht="96" x14ac:dyDescent="0.25">
      <c r="A890" s="17" t="s">
        <v>2809</v>
      </c>
      <c r="B890" s="18" t="s">
        <v>37</v>
      </c>
      <c r="C890" s="19" t="s">
        <v>3015</v>
      </c>
      <c r="D890" s="45" t="s">
        <v>3016</v>
      </c>
      <c r="E890" s="50"/>
      <c r="F890" s="58" t="s">
        <v>874</v>
      </c>
      <c r="G890" s="51">
        <v>592000</v>
      </c>
      <c r="H890" s="51">
        <v>56522.48</v>
      </c>
      <c r="I890" s="50" t="s">
        <v>3184</v>
      </c>
      <c r="J890" s="58" t="s">
        <v>3185</v>
      </c>
      <c r="K890" s="52" t="s">
        <v>2812</v>
      </c>
      <c r="L890" s="59">
        <v>42298</v>
      </c>
      <c r="M890" s="60">
        <f>L890+365</f>
        <v>42663</v>
      </c>
      <c r="N890" s="51">
        <v>648522.48</v>
      </c>
      <c r="O890" s="59"/>
      <c r="P890" s="59"/>
      <c r="Q890" s="51">
        <v>1266.5999999999999</v>
      </c>
      <c r="R890" s="51">
        <f>N890+Q890</f>
        <v>649789.07999999996</v>
      </c>
      <c r="S890" s="51"/>
      <c r="T890" s="52" t="s">
        <v>32</v>
      </c>
      <c r="U890" s="51"/>
      <c r="V890" s="51"/>
      <c r="W890" s="51"/>
      <c r="X890" s="51"/>
      <c r="Y890" s="19" t="s">
        <v>3345</v>
      </c>
      <c r="Z890" s="19"/>
      <c r="AA890" s="28"/>
      <c r="AB890" s="56"/>
      <c r="AC890" s="28"/>
      <c r="AD890" s="28"/>
      <c r="AE890" s="54"/>
      <c r="AF890" s="54"/>
      <c r="AG890" s="54"/>
      <c r="AH890" s="53"/>
      <c r="AI890" s="53" t="s">
        <v>1591</v>
      </c>
      <c r="AJ890" s="53" t="s">
        <v>1591</v>
      </c>
    </row>
    <row r="891" spans="1:36" s="3" customFormat="1" ht="108" x14ac:dyDescent="0.25">
      <c r="A891" s="17" t="s">
        <v>2809</v>
      </c>
      <c r="B891" s="18" t="s">
        <v>37</v>
      </c>
      <c r="C891" s="19" t="s">
        <v>3000</v>
      </c>
      <c r="D891" s="45" t="s">
        <v>3003</v>
      </c>
      <c r="E891" s="50"/>
      <c r="F891" s="58" t="s">
        <v>3173</v>
      </c>
      <c r="G891" s="51">
        <v>348774.66</v>
      </c>
      <c r="H891" s="51">
        <v>296590.84999999998</v>
      </c>
      <c r="I891" s="50" t="s">
        <v>639</v>
      </c>
      <c r="J891" s="58" t="s">
        <v>3174</v>
      </c>
      <c r="K891" s="52" t="s">
        <v>2442</v>
      </c>
      <c r="L891" s="59">
        <v>41815</v>
      </c>
      <c r="M891" s="60">
        <f>L891+365</f>
        <v>42180</v>
      </c>
      <c r="N891" s="51">
        <v>645365.51</v>
      </c>
      <c r="O891" s="59">
        <v>42180</v>
      </c>
      <c r="P891" s="59">
        <f>M891+8*30</f>
        <v>42420</v>
      </c>
      <c r="Q891" s="51">
        <v>0</v>
      </c>
      <c r="R891" s="51">
        <f>N891+Q891</f>
        <v>645365.51</v>
      </c>
      <c r="S891" s="51"/>
      <c r="T891" s="52" t="s">
        <v>3341</v>
      </c>
      <c r="U891" s="51"/>
      <c r="V891" s="51"/>
      <c r="W891" s="51"/>
      <c r="X891" s="51">
        <v>48902.66</v>
      </c>
      <c r="Y891" s="19" t="s">
        <v>3340</v>
      </c>
      <c r="Z891" s="19"/>
      <c r="AA891" s="28"/>
      <c r="AB891" s="56"/>
      <c r="AC891" s="28"/>
      <c r="AD891" s="28"/>
      <c r="AE891" s="54"/>
      <c r="AF891" s="54"/>
      <c r="AG891" s="54"/>
      <c r="AH891" s="53"/>
      <c r="AI891" s="53" t="s">
        <v>1591</v>
      </c>
      <c r="AJ891" s="53" t="s">
        <v>1591</v>
      </c>
    </row>
    <row r="892" spans="1:36" s="3" customFormat="1" ht="108" x14ac:dyDescent="0.25">
      <c r="A892" s="17" t="s">
        <v>2809</v>
      </c>
      <c r="B892" s="18" t="s">
        <v>37</v>
      </c>
      <c r="C892" s="19" t="s">
        <v>2993</v>
      </c>
      <c r="D892" s="45" t="s">
        <v>2995</v>
      </c>
      <c r="E892" s="50"/>
      <c r="F892" s="58" t="s">
        <v>43</v>
      </c>
      <c r="G892" s="51">
        <v>509811.14</v>
      </c>
      <c r="H892" s="51">
        <v>55991.07</v>
      </c>
      <c r="I892" s="50" t="s">
        <v>138</v>
      </c>
      <c r="J892" s="58" t="s">
        <v>3168</v>
      </c>
      <c r="K892" s="52" t="s">
        <v>140</v>
      </c>
      <c r="L892" s="59">
        <v>41613</v>
      </c>
      <c r="M892" s="60">
        <f>L892+270</f>
        <v>41883</v>
      </c>
      <c r="N892" s="51">
        <v>454519.92</v>
      </c>
      <c r="O892" s="59">
        <v>41887</v>
      </c>
      <c r="P892" s="59">
        <f>M892+36*30</f>
        <v>42963</v>
      </c>
      <c r="Q892" s="51">
        <v>111282.29</v>
      </c>
      <c r="R892" s="51">
        <f>N892+Q892</f>
        <v>565802.21</v>
      </c>
      <c r="S892" s="51"/>
      <c r="T892" s="52" t="s">
        <v>32</v>
      </c>
      <c r="U892" s="51"/>
      <c r="V892" s="51"/>
      <c r="W892" s="51">
        <v>0</v>
      </c>
      <c r="X892" s="51">
        <v>340314.96</v>
      </c>
      <c r="Y892" s="19" t="s">
        <v>3340</v>
      </c>
      <c r="Z892" s="19"/>
      <c r="AA892" s="28"/>
      <c r="AB892" s="56"/>
      <c r="AC892" s="28"/>
      <c r="AD892" s="28"/>
      <c r="AE892" s="54"/>
      <c r="AF892" s="54"/>
      <c r="AG892" s="54"/>
      <c r="AH892" s="53"/>
      <c r="AI892" s="53" t="s">
        <v>1591</v>
      </c>
      <c r="AJ892" s="53" t="s">
        <v>1591</v>
      </c>
    </row>
    <row r="893" spans="1:36" s="3" customFormat="1" ht="108" x14ac:dyDescent="0.25">
      <c r="A893" s="17" t="s">
        <v>2809</v>
      </c>
      <c r="B893" s="18" t="s">
        <v>37</v>
      </c>
      <c r="C893" s="19" t="s">
        <v>2993</v>
      </c>
      <c r="D893" s="45" t="s">
        <v>2994</v>
      </c>
      <c r="E893" s="50"/>
      <c r="F893" s="58" t="s">
        <v>43</v>
      </c>
      <c r="G893" s="51">
        <v>509811.14</v>
      </c>
      <c r="H893" s="51">
        <v>54933.68</v>
      </c>
      <c r="I893" s="50" t="s">
        <v>138</v>
      </c>
      <c r="J893" s="58" t="s">
        <v>3168</v>
      </c>
      <c r="K893" s="52" t="s">
        <v>139</v>
      </c>
      <c r="L893" s="59">
        <v>41613</v>
      </c>
      <c r="M893" s="60">
        <f>L893+270</f>
        <v>41883</v>
      </c>
      <c r="N893" s="51">
        <v>454519.92</v>
      </c>
      <c r="O893" s="59">
        <v>41887</v>
      </c>
      <c r="P893" s="59">
        <f>M893+16*30</f>
        <v>42363</v>
      </c>
      <c r="Q893" s="51">
        <v>110224.9</v>
      </c>
      <c r="R893" s="51">
        <f>N893+Q893</f>
        <v>564744.81999999995</v>
      </c>
      <c r="S893" s="51"/>
      <c r="T893" s="52" t="s">
        <v>32</v>
      </c>
      <c r="U893" s="51"/>
      <c r="V893" s="51"/>
      <c r="W893" s="51">
        <v>0</v>
      </c>
      <c r="X893" s="51">
        <v>60421.42</v>
      </c>
      <c r="Y893" s="19" t="s">
        <v>3340</v>
      </c>
      <c r="Z893" s="19"/>
      <c r="AA893" s="28"/>
      <c r="AB893" s="56"/>
      <c r="AC893" s="28"/>
      <c r="AD893" s="28"/>
      <c r="AE893" s="54"/>
      <c r="AF893" s="54"/>
      <c r="AG893" s="54"/>
      <c r="AH893" s="53"/>
      <c r="AI893" s="53" t="s">
        <v>1591</v>
      </c>
      <c r="AJ893" s="53" t="s">
        <v>1591</v>
      </c>
    </row>
    <row r="894" spans="1:36" s="3" customFormat="1" ht="108" x14ac:dyDescent="0.25">
      <c r="A894" s="17" t="s">
        <v>2809</v>
      </c>
      <c r="B894" s="18" t="s">
        <v>37</v>
      </c>
      <c r="C894" s="19" t="s">
        <v>3000</v>
      </c>
      <c r="D894" s="45" t="s">
        <v>3002</v>
      </c>
      <c r="E894" s="50"/>
      <c r="F894" s="58" t="s">
        <v>3173</v>
      </c>
      <c r="G894" s="51">
        <v>241568</v>
      </c>
      <c r="H894" s="51">
        <v>128839.11</v>
      </c>
      <c r="I894" s="50" t="s">
        <v>639</v>
      </c>
      <c r="J894" s="58" t="s">
        <v>3174</v>
      </c>
      <c r="K894" s="52" t="s">
        <v>2442</v>
      </c>
      <c r="L894" s="59">
        <v>41815</v>
      </c>
      <c r="M894" s="60">
        <f>L894+365</f>
        <v>42180</v>
      </c>
      <c r="N894" s="51">
        <v>370407.11</v>
      </c>
      <c r="O894" s="59">
        <v>42180</v>
      </c>
      <c r="P894" s="59">
        <f>M894+8*30</f>
        <v>42420</v>
      </c>
      <c r="Q894" s="51"/>
      <c r="R894" s="51">
        <f>N894+Q894</f>
        <v>370407.11</v>
      </c>
      <c r="S894" s="51"/>
      <c r="T894" s="52" t="s">
        <v>3341</v>
      </c>
      <c r="U894" s="51"/>
      <c r="V894" s="51"/>
      <c r="W894" s="51"/>
      <c r="X894" s="51">
        <v>186180.02</v>
      </c>
      <c r="Y894" s="19" t="s">
        <v>3340</v>
      </c>
      <c r="Z894" s="19"/>
      <c r="AA894" s="28"/>
      <c r="AB894" s="56"/>
      <c r="AC894" s="28"/>
      <c r="AD894" s="28"/>
      <c r="AE894" s="54"/>
      <c r="AF894" s="54"/>
      <c r="AG894" s="54"/>
      <c r="AH894" s="53"/>
      <c r="AI894" s="53" t="s">
        <v>1591</v>
      </c>
      <c r="AJ894" s="53" t="s">
        <v>1591</v>
      </c>
    </row>
    <row r="895" spans="1:36" s="3" customFormat="1" ht="36" x14ac:dyDescent="0.25">
      <c r="A895" s="35" t="s">
        <v>2809</v>
      </c>
      <c r="B895" s="18" t="s">
        <v>37</v>
      </c>
      <c r="C895" s="76"/>
      <c r="D895" s="43" t="s">
        <v>5157</v>
      </c>
      <c r="E895" s="78"/>
      <c r="F895" s="36" t="s">
        <v>661</v>
      </c>
      <c r="G895" s="80"/>
      <c r="H895" s="80"/>
      <c r="I895" s="36" t="s">
        <v>2811</v>
      </c>
      <c r="J895" s="34" t="s">
        <v>5158</v>
      </c>
      <c r="K895" s="37" t="s">
        <v>1853</v>
      </c>
      <c r="L895" s="38">
        <v>41765</v>
      </c>
      <c r="M895" s="39">
        <v>41885</v>
      </c>
      <c r="N895" s="42">
        <v>299570.90000000002</v>
      </c>
      <c r="O895" s="85">
        <v>41888</v>
      </c>
      <c r="P895" s="86">
        <v>42005</v>
      </c>
      <c r="Q895" s="41">
        <v>46563.6</v>
      </c>
      <c r="R895" s="41">
        <v>346134.5</v>
      </c>
      <c r="S895" s="80"/>
      <c r="T895" s="81"/>
      <c r="U895" s="80"/>
      <c r="V895" s="80"/>
      <c r="W895" s="42"/>
      <c r="X895" s="42"/>
      <c r="Y895" s="34" t="s">
        <v>4321</v>
      </c>
      <c r="Z895" s="19" t="s">
        <v>7038</v>
      </c>
      <c r="AA895" s="28"/>
      <c r="AB895" s="56"/>
      <c r="AC895" s="28"/>
      <c r="AD895" s="28"/>
      <c r="AE895" s="54"/>
      <c r="AF895" s="54"/>
      <c r="AG895" s="54"/>
      <c r="AH895" s="53"/>
      <c r="AI895" s="53" t="s">
        <v>1591</v>
      </c>
      <c r="AJ895" s="53" t="s">
        <v>1591</v>
      </c>
    </row>
    <row r="896" spans="1:36" s="3" customFormat="1" ht="108" x14ac:dyDescent="0.25">
      <c r="A896" s="17" t="s">
        <v>2809</v>
      </c>
      <c r="B896" s="18" t="s">
        <v>37</v>
      </c>
      <c r="C896" s="19" t="s">
        <v>2996</v>
      </c>
      <c r="D896" s="45" t="s">
        <v>2997</v>
      </c>
      <c r="E896" s="50"/>
      <c r="F896" s="58" t="s">
        <v>43</v>
      </c>
      <c r="G896" s="51">
        <v>241136.1</v>
      </c>
      <c r="H896" s="51">
        <v>83367.429999999993</v>
      </c>
      <c r="I896" s="50" t="s">
        <v>3172</v>
      </c>
      <c r="J896" s="58" t="s">
        <v>2815</v>
      </c>
      <c r="K896" s="52" t="s">
        <v>2061</v>
      </c>
      <c r="L896" s="59">
        <v>42443</v>
      </c>
      <c r="M896" s="60">
        <f>L896+150</f>
        <v>42593</v>
      </c>
      <c r="N896" s="51">
        <v>324503.53000000003</v>
      </c>
      <c r="O896" s="59">
        <v>42592</v>
      </c>
      <c r="P896" s="59">
        <f>M896+143</f>
        <v>42736</v>
      </c>
      <c r="Q896" s="51">
        <v>0</v>
      </c>
      <c r="R896" s="51">
        <f t="shared" ref="R896:R904" si="38">N896+Q896</f>
        <v>324503.53000000003</v>
      </c>
      <c r="S896" s="51"/>
      <c r="T896" s="52" t="s">
        <v>32</v>
      </c>
      <c r="U896" s="51"/>
      <c r="V896" s="51"/>
      <c r="W896" s="51">
        <v>0</v>
      </c>
      <c r="X896" s="51">
        <v>44056.37</v>
      </c>
      <c r="Y896" s="19" t="s">
        <v>3340</v>
      </c>
      <c r="Z896" s="19"/>
      <c r="AA896" s="28"/>
      <c r="AB896" s="56"/>
      <c r="AC896" s="28"/>
      <c r="AD896" s="28"/>
      <c r="AE896" s="54"/>
      <c r="AF896" s="54"/>
      <c r="AG896" s="54"/>
      <c r="AH896" s="53"/>
      <c r="AI896" s="53" t="s">
        <v>1591</v>
      </c>
      <c r="AJ896" s="53" t="s">
        <v>1591</v>
      </c>
    </row>
    <row r="897" spans="1:36" s="3" customFormat="1" ht="108" x14ac:dyDescent="0.25">
      <c r="A897" s="17" t="s">
        <v>2809</v>
      </c>
      <c r="B897" s="18" t="s">
        <v>37</v>
      </c>
      <c r="C897" s="19" t="s">
        <v>1938</v>
      </c>
      <c r="D897" s="45" t="s">
        <v>2992</v>
      </c>
      <c r="E897" s="50"/>
      <c r="F897" s="58" t="s">
        <v>43</v>
      </c>
      <c r="G897" s="51">
        <v>241136.1</v>
      </c>
      <c r="H897" s="51">
        <v>83367.429999999993</v>
      </c>
      <c r="I897" s="50" t="s">
        <v>134</v>
      </c>
      <c r="J897" s="58" t="s">
        <v>3171</v>
      </c>
      <c r="K897" s="52" t="s">
        <v>137</v>
      </c>
      <c r="L897" s="59">
        <v>42303</v>
      </c>
      <c r="M897" s="60">
        <f>L897+150</f>
        <v>42453</v>
      </c>
      <c r="N897" s="51">
        <v>324503.53000000003</v>
      </c>
      <c r="O897" s="59">
        <v>42455</v>
      </c>
      <c r="P897" s="59" t="s">
        <v>3302</v>
      </c>
      <c r="Q897" s="51">
        <v>0</v>
      </c>
      <c r="R897" s="51">
        <f t="shared" si="38"/>
        <v>324503.53000000003</v>
      </c>
      <c r="S897" s="51"/>
      <c r="T897" s="52" t="s">
        <v>32</v>
      </c>
      <c r="U897" s="51">
        <v>0</v>
      </c>
      <c r="V897" s="51">
        <v>0</v>
      </c>
      <c r="W897" s="51">
        <v>0</v>
      </c>
      <c r="X897" s="51"/>
      <c r="Y897" s="19" t="s">
        <v>3340</v>
      </c>
      <c r="Z897" s="19"/>
      <c r="AA897" s="28"/>
      <c r="AB897" s="56"/>
      <c r="AC897" s="28"/>
      <c r="AD897" s="28"/>
      <c r="AE897" s="54"/>
      <c r="AF897" s="54"/>
      <c r="AG897" s="54"/>
      <c r="AH897" s="53"/>
      <c r="AI897" s="53" t="s">
        <v>1591</v>
      </c>
      <c r="AJ897" s="53" t="s">
        <v>1591</v>
      </c>
    </row>
    <row r="898" spans="1:36" s="3" customFormat="1" ht="84" x14ac:dyDescent="0.25">
      <c r="A898" s="17" t="s">
        <v>2809</v>
      </c>
      <c r="B898" s="18" t="s">
        <v>37</v>
      </c>
      <c r="C898" s="19"/>
      <c r="D898" s="45" t="s">
        <v>3020</v>
      </c>
      <c r="E898" s="50"/>
      <c r="F898" s="58" t="s">
        <v>3183</v>
      </c>
      <c r="G898" s="51">
        <v>292500</v>
      </c>
      <c r="H898" s="51"/>
      <c r="I898" s="50"/>
      <c r="J898" s="58"/>
      <c r="K898" s="52"/>
      <c r="L898" s="59"/>
      <c r="M898" s="60"/>
      <c r="N898" s="51">
        <v>292500</v>
      </c>
      <c r="O898" s="59"/>
      <c r="P898" s="59"/>
      <c r="Q898" s="51"/>
      <c r="R898" s="51">
        <f t="shared" si="38"/>
        <v>292500</v>
      </c>
      <c r="S898" s="51"/>
      <c r="T898" s="52" t="s">
        <v>32</v>
      </c>
      <c r="U898" s="51"/>
      <c r="V898" s="51"/>
      <c r="W898" s="51"/>
      <c r="X898" s="51"/>
      <c r="Y898" s="19" t="s">
        <v>3346</v>
      </c>
      <c r="Z898" s="19"/>
      <c r="AA898" s="28"/>
      <c r="AB898" s="56"/>
      <c r="AC898" s="28"/>
      <c r="AD898" s="28"/>
      <c r="AE898" s="54"/>
      <c r="AF898" s="54"/>
      <c r="AG898" s="54"/>
      <c r="AH898" s="53"/>
      <c r="AI898" s="53" t="s">
        <v>1591</v>
      </c>
      <c r="AJ898" s="53" t="s">
        <v>1591</v>
      </c>
    </row>
    <row r="899" spans="1:36" s="3" customFormat="1" ht="108" x14ac:dyDescent="0.25">
      <c r="A899" s="17" t="s">
        <v>2809</v>
      </c>
      <c r="B899" s="18" t="s">
        <v>37</v>
      </c>
      <c r="C899" s="19" t="s">
        <v>3000</v>
      </c>
      <c r="D899" s="45" t="s">
        <v>3001</v>
      </c>
      <c r="E899" s="50"/>
      <c r="F899" s="58" t="s">
        <v>3173</v>
      </c>
      <c r="G899" s="51">
        <v>241224</v>
      </c>
      <c r="H899" s="51">
        <v>24023.599999999999</v>
      </c>
      <c r="I899" s="50" t="s">
        <v>639</v>
      </c>
      <c r="J899" s="58" t="s">
        <v>3174</v>
      </c>
      <c r="K899" s="52" t="s">
        <v>2442</v>
      </c>
      <c r="L899" s="59">
        <v>41815</v>
      </c>
      <c r="M899" s="60">
        <f>L899+365</f>
        <v>42180</v>
      </c>
      <c r="N899" s="51">
        <v>265247.59999999998</v>
      </c>
      <c r="O899" s="59">
        <v>42180</v>
      </c>
      <c r="P899" s="59">
        <f>M899+8*30</f>
        <v>42420</v>
      </c>
      <c r="Q899" s="51">
        <v>0</v>
      </c>
      <c r="R899" s="51">
        <f t="shared" si="38"/>
        <v>265247.59999999998</v>
      </c>
      <c r="S899" s="51"/>
      <c r="T899" s="52" t="s">
        <v>3341</v>
      </c>
      <c r="U899" s="51"/>
      <c r="V899" s="51"/>
      <c r="W899" s="51"/>
      <c r="X899" s="51">
        <v>169211.23</v>
      </c>
      <c r="Y899" s="19" t="s">
        <v>3340</v>
      </c>
      <c r="Z899" s="19"/>
      <c r="AA899" s="28"/>
      <c r="AB899" s="56"/>
      <c r="AC899" s="28"/>
      <c r="AD899" s="28"/>
      <c r="AE899" s="54"/>
      <c r="AF899" s="54"/>
      <c r="AG899" s="54"/>
      <c r="AH899" s="53"/>
      <c r="AI899" s="53" t="s">
        <v>1591</v>
      </c>
      <c r="AJ899" s="53" t="s">
        <v>1591</v>
      </c>
    </row>
    <row r="900" spans="1:36" s="3" customFormat="1" ht="96" x14ac:dyDescent="0.25">
      <c r="A900" s="17" t="s">
        <v>2809</v>
      </c>
      <c r="B900" s="18" t="s">
        <v>37</v>
      </c>
      <c r="C900" s="19" t="s">
        <v>2677</v>
      </c>
      <c r="D900" s="45" t="s">
        <v>3019</v>
      </c>
      <c r="E900" s="50" t="s">
        <v>3190</v>
      </c>
      <c r="F900" s="58" t="s">
        <v>3183</v>
      </c>
      <c r="G900" s="51">
        <v>243750</v>
      </c>
      <c r="H900" s="51">
        <v>6250</v>
      </c>
      <c r="I900" s="50" t="s">
        <v>138</v>
      </c>
      <c r="J900" s="58" t="s">
        <v>3168</v>
      </c>
      <c r="K900" s="52" t="s">
        <v>1556</v>
      </c>
      <c r="L900" s="59">
        <v>42366</v>
      </c>
      <c r="M900" s="60">
        <f>L900+150</f>
        <v>42516</v>
      </c>
      <c r="N900" s="51">
        <v>373108.93</v>
      </c>
      <c r="O900" s="59"/>
      <c r="P900" s="59">
        <f>M900+12*30</f>
        <v>42876</v>
      </c>
      <c r="Q900" s="51">
        <v>-117060.23</v>
      </c>
      <c r="R900" s="51">
        <f t="shared" si="38"/>
        <v>256048.7</v>
      </c>
      <c r="S900" s="51"/>
      <c r="T900" s="52" t="s">
        <v>32</v>
      </c>
      <c r="U900" s="51"/>
      <c r="V900" s="51"/>
      <c r="W900" s="51"/>
      <c r="X900" s="51"/>
      <c r="Y900" s="19" t="s">
        <v>3345</v>
      </c>
      <c r="Z900" s="19"/>
      <c r="AA900" s="28"/>
      <c r="AB900" s="56"/>
      <c r="AC900" s="28"/>
      <c r="AD900" s="28"/>
      <c r="AE900" s="54"/>
      <c r="AF900" s="54"/>
      <c r="AG900" s="54"/>
      <c r="AH900" s="53"/>
      <c r="AI900" s="53" t="s">
        <v>1591</v>
      </c>
      <c r="AJ900" s="53" t="s">
        <v>1591</v>
      </c>
    </row>
    <row r="901" spans="1:36" s="3" customFormat="1" ht="108" x14ac:dyDescent="0.25">
      <c r="A901" s="17" t="s">
        <v>2809</v>
      </c>
      <c r="B901" s="18" t="s">
        <v>37</v>
      </c>
      <c r="C901" s="19" t="s">
        <v>3000</v>
      </c>
      <c r="D901" s="45" t="s">
        <v>3005</v>
      </c>
      <c r="E901" s="50"/>
      <c r="F901" s="58" t="s">
        <v>3173</v>
      </c>
      <c r="G901" s="51">
        <v>278160</v>
      </c>
      <c r="H901" s="51">
        <v>22190.46</v>
      </c>
      <c r="I901" s="50" t="s">
        <v>639</v>
      </c>
      <c r="J901" s="58" t="s">
        <v>3174</v>
      </c>
      <c r="K901" s="52" t="s">
        <v>2442</v>
      </c>
      <c r="L901" s="59">
        <v>42078</v>
      </c>
      <c r="M901" s="60">
        <f>L901+180</f>
        <v>42258</v>
      </c>
      <c r="N901" s="51">
        <v>255969.54</v>
      </c>
      <c r="O901" s="59">
        <v>42180</v>
      </c>
      <c r="P901" s="59">
        <f>M901+8*30</f>
        <v>42498</v>
      </c>
      <c r="Q901" s="51">
        <v>0</v>
      </c>
      <c r="R901" s="51">
        <f t="shared" si="38"/>
        <v>255969.54</v>
      </c>
      <c r="S901" s="51"/>
      <c r="T901" s="52" t="s">
        <v>3341</v>
      </c>
      <c r="U901" s="51"/>
      <c r="V901" s="51"/>
      <c r="W901" s="51"/>
      <c r="X901" s="51">
        <v>38953.94</v>
      </c>
      <c r="Y901" s="19" t="s">
        <v>3340</v>
      </c>
      <c r="Z901" s="19"/>
      <c r="AA901" s="28"/>
      <c r="AB901" s="56"/>
      <c r="AC901" s="28"/>
      <c r="AD901" s="28"/>
      <c r="AE901" s="54"/>
      <c r="AF901" s="54"/>
      <c r="AG901" s="54"/>
      <c r="AH901" s="53"/>
      <c r="AI901" s="53" t="s">
        <v>1591</v>
      </c>
      <c r="AJ901" s="53" t="s">
        <v>1591</v>
      </c>
    </row>
    <row r="902" spans="1:36" s="3" customFormat="1" ht="108" x14ac:dyDescent="0.25">
      <c r="A902" s="17" t="s">
        <v>2809</v>
      </c>
      <c r="B902" s="18" t="s">
        <v>37</v>
      </c>
      <c r="C902" s="19" t="s">
        <v>3000</v>
      </c>
      <c r="D902" s="45" t="s">
        <v>3004</v>
      </c>
      <c r="E902" s="50"/>
      <c r="F902" s="58" t="s">
        <v>3173</v>
      </c>
      <c r="G902" s="51">
        <v>261512</v>
      </c>
      <c r="H902" s="51">
        <v>18929.68</v>
      </c>
      <c r="I902" s="50" t="s">
        <v>639</v>
      </c>
      <c r="J902" s="58" t="s">
        <v>3174</v>
      </c>
      <c r="K902" s="52" t="s">
        <v>2442</v>
      </c>
      <c r="L902" s="59">
        <v>41815</v>
      </c>
      <c r="M902" s="60">
        <f>L902+365</f>
        <v>42180</v>
      </c>
      <c r="N902" s="51">
        <v>242582.32</v>
      </c>
      <c r="O902" s="59">
        <v>42180</v>
      </c>
      <c r="P902" s="59">
        <f>M902+8*30</f>
        <v>42420</v>
      </c>
      <c r="Q902" s="51">
        <v>0</v>
      </c>
      <c r="R902" s="51">
        <f t="shared" si="38"/>
        <v>242582.32</v>
      </c>
      <c r="S902" s="51"/>
      <c r="T902" s="52" t="s">
        <v>3341</v>
      </c>
      <c r="U902" s="51"/>
      <c r="V902" s="51"/>
      <c r="W902" s="51"/>
      <c r="X902" s="51">
        <v>121808.66</v>
      </c>
      <c r="Y902" s="19" t="s">
        <v>3340</v>
      </c>
      <c r="Z902" s="19"/>
      <c r="AA902" s="28"/>
      <c r="AB902" s="56"/>
      <c r="AC902" s="28"/>
      <c r="AD902" s="28"/>
      <c r="AE902" s="54"/>
      <c r="AF902" s="54"/>
      <c r="AG902" s="54"/>
      <c r="AH902" s="53"/>
      <c r="AI902" s="53" t="s">
        <v>1591</v>
      </c>
      <c r="AJ902" s="53" t="s">
        <v>1591</v>
      </c>
    </row>
    <row r="903" spans="1:36" s="3" customFormat="1" ht="108" x14ac:dyDescent="0.25">
      <c r="A903" s="17" t="s">
        <v>2809</v>
      </c>
      <c r="B903" s="18" t="s">
        <v>37</v>
      </c>
      <c r="C903" s="19" t="s">
        <v>2998</v>
      </c>
      <c r="D903" s="45" t="s">
        <v>2999</v>
      </c>
      <c r="E903" s="50"/>
      <c r="F903" s="58" t="s">
        <v>43</v>
      </c>
      <c r="G903" s="51">
        <v>120568.05</v>
      </c>
      <c r="H903" s="51">
        <v>93514.02</v>
      </c>
      <c r="I903" s="50" t="s">
        <v>3172</v>
      </c>
      <c r="J903" s="58" t="s">
        <v>2815</v>
      </c>
      <c r="K903" s="52" t="s">
        <v>921</v>
      </c>
      <c r="L903" s="59">
        <v>42443</v>
      </c>
      <c r="M903" s="60">
        <f>L903+150</f>
        <v>42593</v>
      </c>
      <c r="N903" s="51">
        <v>214082.07</v>
      </c>
      <c r="O903" s="59">
        <v>42592</v>
      </c>
      <c r="P903" s="59">
        <f>M903+143</f>
        <v>42736</v>
      </c>
      <c r="Q903" s="51">
        <v>0</v>
      </c>
      <c r="R903" s="51">
        <f t="shared" si="38"/>
        <v>214082.07</v>
      </c>
      <c r="S903" s="51"/>
      <c r="T903" s="52" t="s">
        <v>32</v>
      </c>
      <c r="U903" s="51"/>
      <c r="V903" s="51"/>
      <c r="W903" s="51">
        <v>0</v>
      </c>
      <c r="X903" s="51">
        <v>111131.57</v>
      </c>
      <c r="Y903" s="19" t="s">
        <v>3340</v>
      </c>
      <c r="Z903" s="19"/>
      <c r="AA903" s="28"/>
      <c r="AB903" s="56"/>
      <c r="AC903" s="28"/>
      <c r="AD903" s="28"/>
      <c r="AE903" s="54"/>
      <c r="AF903" s="54"/>
      <c r="AG903" s="54"/>
      <c r="AH903" s="53"/>
      <c r="AI903" s="53" t="s">
        <v>1591</v>
      </c>
      <c r="AJ903" s="53" t="s">
        <v>1591</v>
      </c>
    </row>
    <row r="904" spans="1:36" s="3" customFormat="1" ht="108" x14ac:dyDescent="0.25">
      <c r="A904" s="17" t="s">
        <v>2809</v>
      </c>
      <c r="B904" s="18" t="s">
        <v>37</v>
      </c>
      <c r="C904" s="19" t="s">
        <v>2990</v>
      </c>
      <c r="D904" s="45" t="s">
        <v>2991</v>
      </c>
      <c r="E904" s="50"/>
      <c r="F904" s="58" t="s">
        <v>43</v>
      </c>
      <c r="G904" s="51">
        <v>120568.05</v>
      </c>
      <c r="H904" s="51">
        <v>93514.02</v>
      </c>
      <c r="I904" s="50" t="s">
        <v>134</v>
      </c>
      <c r="J904" s="58" t="s">
        <v>3171</v>
      </c>
      <c r="K904" s="52" t="s">
        <v>135</v>
      </c>
      <c r="L904" s="59">
        <v>42303</v>
      </c>
      <c r="M904" s="60">
        <f>L904+150</f>
        <v>42453</v>
      </c>
      <c r="N904" s="51">
        <v>214082.07</v>
      </c>
      <c r="O904" s="59">
        <v>42452</v>
      </c>
      <c r="P904" s="59" t="s">
        <v>3302</v>
      </c>
      <c r="Q904" s="51">
        <v>0</v>
      </c>
      <c r="R904" s="51">
        <f t="shared" si="38"/>
        <v>214082.07</v>
      </c>
      <c r="S904" s="51"/>
      <c r="T904" s="52" t="s">
        <v>32</v>
      </c>
      <c r="U904" s="51">
        <v>0</v>
      </c>
      <c r="V904" s="51">
        <v>0</v>
      </c>
      <c r="W904" s="51">
        <v>0</v>
      </c>
      <c r="X904" s="51"/>
      <c r="Y904" s="19" t="s">
        <v>3340</v>
      </c>
      <c r="Z904" s="19"/>
      <c r="AA904" s="28"/>
      <c r="AB904" s="56"/>
      <c r="AC904" s="28"/>
      <c r="AD904" s="28"/>
      <c r="AE904" s="54"/>
      <c r="AF904" s="54"/>
      <c r="AG904" s="54"/>
      <c r="AH904" s="53"/>
      <c r="AI904" s="53" t="s">
        <v>1591</v>
      </c>
      <c r="AJ904" s="53" t="s">
        <v>1591</v>
      </c>
    </row>
    <row r="905" spans="1:36" s="3" customFormat="1" ht="36" x14ac:dyDescent="0.25">
      <c r="A905" s="35" t="s">
        <v>2809</v>
      </c>
      <c r="B905" s="18" t="s">
        <v>37</v>
      </c>
      <c r="C905" s="76"/>
      <c r="D905" s="43" t="s">
        <v>5160</v>
      </c>
      <c r="E905" s="78"/>
      <c r="F905" s="36" t="s">
        <v>5161</v>
      </c>
      <c r="G905" s="80"/>
      <c r="H905" s="80"/>
      <c r="I905" s="36" t="s">
        <v>5155</v>
      </c>
      <c r="J905" s="34" t="s">
        <v>5156</v>
      </c>
      <c r="K905" s="37" t="s">
        <v>2813</v>
      </c>
      <c r="L905" s="38">
        <v>42330</v>
      </c>
      <c r="M905" s="39">
        <v>42450</v>
      </c>
      <c r="N905" s="42">
        <v>188498.73</v>
      </c>
      <c r="O905" s="85">
        <v>42421</v>
      </c>
      <c r="P905" s="86">
        <v>42570</v>
      </c>
      <c r="Q905" s="41"/>
      <c r="R905" s="41">
        <v>188498.73</v>
      </c>
      <c r="S905" s="80"/>
      <c r="T905" s="81"/>
      <c r="U905" s="80"/>
      <c r="V905" s="80"/>
      <c r="W905" s="42"/>
      <c r="X905" s="42"/>
      <c r="Y905" s="34" t="s">
        <v>4321</v>
      </c>
      <c r="Z905" s="19" t="s">
        <v>7038</v>
      </c>
      <c r="AA905" s="28"/>
      <c r="AB905" s="56"/>
      <c r="AC905" s="28"/>
      <c r="AD905" s="28"/>
      <c r="AE905" s="54"/>
      <c r="AF905" s="54"/>
      <c r="AG905" s="54"/>
      <c r="AH905" s="53"/>
      <c r="AI905" s="53" t="s">
        <v>1591</v>
      </c>
      <c r="AJ905" s="53" t="s">
        <v>1591</v>
      </c>
    </row>
    <row r="906" spans="1:36" s="3" customFormat="1" ht="96" x14ac:dyDescent="0.25">
      <c r="A906" s="17" t="s">
        <v>2809</v>
      </c>
      <c r="B906" s="18" t="s">
        <v>37</v>
      </c>
      <c r="C906" s="19" t="s">
        <v>95</v>
      </c>
      <c r="D906" s="45" t="s">
        <v>3011</v>
      </c>
      <c r="E906" s="50"/>
      <c r="F906" s="58" t="s">
        <v>3183</v>
      </c>
      <c r="G906" s="51">
        <v>243750</v>
      </c>
      <c r="H906" s="51">
        <v>6250</v>
      </c>
      <c r="I906" s="50" t="s">
        <v>138</v>
      </c>
      <c r="J906" s="58" t="s">
        <v>3168</v>
      </c>
      <c r="K906" s="52" t="s">
        <v>1556</v>
      </c>
      <c r="L906" s="59">
        <v>42131</v>
      </c>
      <c r="M906" s="60">
        <f>L906+150</f>
        <v>42281</v>
      </c>
      <c r="N906" s="51">
        <v>250000</v>
      </c>
      <c r="O906" s="59">
        <v>42501</v>
      </c>
      <c r="P906" s="59">
        <f>M906+150</f>
        <v>42431</v>
      </c>
      <c r="Q906" s="51">
        <v>-117060.23</v>
      </c>
      <c r="R906" s="51">
        <f>N906+Q906</f>
        <v>132939.77000000002</v>
      </c>
      <c r="S906" s="51"/>
      <c r="T906" s="52" t="s">
        <v>32</v>
      </c>
      <c r="U906" s="51"/>
      <c r="V906" s="51"/>
      <c r="W906" s="51"/>
      <c r="X906" s="51"/>
      <c r="Y906" s="19" t="s">
        <v>3343</v>
      </c>
      <c r="Z906" s="19"/>
      <c r="AA906" s="28"/>
      <c r="AB906" s="56"/>
      <c r="AC906" s="28"/>
      <c r="AD906" s="28"/>
      <c r="AE906" s="54"/>
      <c r="AF906" s="54"/>
      <c r="AG906" s="54"/>
      <c r="AH906" s="53"/>
      <c r="AI906" s="53" t="s">
        <v>1591</v>
      </c>
      <c r="AJ906" s="53" t="s">
        <v>1591</v>
      </c>
    </row>
    <row r="907" spans="1:36" s="3" customFormat="1" ht="36" x14ac:dyDescent="0.25">
      <c r="A907" s="35" t="s">
        <v>2809</v>
      </c>
      <c r="B907" s="18" t="s">
        <v>37</v>
      </c>
      <c r="C907" s="76"/>
      <c r="D907" s="43" t="s">
        <v>5162</v>
      </c>
      <c r="E907" s="78"/>
      <c r="F907" s="36"/>
      <c r="G907" s="80"/>
      <c r="H907" s="80"/>
      <c r="I907" s="36" t="s">
        <v>5163</v>
      </c>
      <c r="J907" s="34" t="s">
        <v>5159</v>
      </c>
      <c r="K907" s="88" t="s">
        <v>5164</v>
      </c>
      <c r="L907" s="38">
        <v>42366</v>
      </c>
      <c r="M907" s="39">
        <v>42516</v>
      </c>
      <c r="N907" s="42">
        <v>107084.31</v>
      </c>
      <c r="O907" s="85">
        <v>42518</v>
      </c>
      <c r="P907" s="86">
        <v>42516</v>
      </c>
      <c r="Q907" s="41"/>
      <c r="R907" s="41">
        <v>107084.31</v>
      </c>
      <c r="S907" s="80"/>
      <c r="T907" s="81"/>
      <c r="U907" s="80"/>
      <c r="V907" s="80"/>
      <c r="W907" s="42"/>
      <c r="X907" s="42"/>
      <c r="Y907" s="34" t="s">
        <v>4321</v>
      </c>
      <c r="Z907" s="19" t="s">
        <v>7038</v>
      </c>
      <c r="AA907" s="28"/>
      <c r="AB907" s="56"/>
      <c r="AC907" s="28"/>
      <c r="AD907" s="28"/>
      <c r="AE907" s="54"/>
      <c r="AF907" s="54"/>
      <c r="AG907" s="54"/>
      <c r="AH907" s="53"/>
      <c r="AI907" s="53" t="s">
        <v>1591</v>
      </c>
      <c r="AJ907" s="53" t="s">
        <v>1591</v>
      </c>
    </row>
    <row r="908" spans="1:36" s="3" customFormat="1" ht="36" x14ac:dyDescent="0.25">
      <c r="A908" s="35" t="s">
        <v>2809</v>
      </c>
      <c r="B908" s="18" t="s">
        <v>37</v>
      </c>
      <c r="C908" s="76"/>
      <c r="D908" s="43" t="s">
        <v>5165</v>
      </c>
      <c r="E908" s="78"/>
      <c r="F908" s="36" t="s">
        <v>1870</v>
      </c>
      <c r="G908" s="80"/>
      <c r="H908" s="80"/>
      <c r="I908" s="36" t="s">
        <v>5166</v>
      </c>
      <c r="J908" s="34" t="s">
        <v>5167</v>
      </c>
      <c r="K908" s="37" t="s">
        <v>5168</v>
      </c>
      <c r="L908" s="38">
        <v>41927</v>
      </c>
      <c r="M908" s="39">
        <v>42017</v>
      </c>
      <c r="N908" s="42">
        <v>99908.62</v>
      </c>
      <c r="O908" s="85">
        <v>42019</v>
      </c>
      <c r="P908" s="86">
        <v>42017</v>
      </c>
      <c r="Q908" s="41"/>
      <c r="R908" s="41">
        <v>99908.62</v>
      </c>
      <c r="S908" s="80"/>
      <c r="T908" s="81"/>
      <c r="U908" s="80"/>
      <c r="V908" s="80"/>
      <c r="W908" s="42"/>
      <c r="X908" s="42"/>
      <c r="Y908" s="34" t="s">
        <v>4321</v>
      </c>
      <c r="Z908" s="19" t="s">
        <v>7038</v>
      </c>
      <c r="AA908" s="28"/>
      <c r="AB908" s="56"/>
      <c r="AC908" s="28"/>
      <c r="AD908" s="28"/>
      <c r="AE908" s="54"/>
      <c r="AF908" s="54"/>
      <c r="AG908" s="54"/>
      <c r="AH908" s="53"/>
      <c r="AI908" s="53" t="s">
        <v>1591</v>
      </c>
      <c r="AJ908" s="53" t="s">
        <v>1591</v>
      </c>
    </row>
    <row r="909" spans="1:36" s="3" customFormat="1" ht="108" x14ac:dyDescent="0.25">
      <c r="A909" s="17" t="s">
        <v>2809</v>
      </c>
      <c r="B909" s="18" t="s">
        <v>37</v>
      </c>
      <c r="C909" s="19" t="s">
        <v>1084</v>
      </c>
      <c r="D909" s="45" t="s">
        <v>3006</v>
      </c>
      <c r="E909" s="50"/>
      <c r="F909" s="58" t="s">
        <v>3175</v>
      </c>
      <c r="G909" s="51"/>
      <c r="H909" s="51"/>
      <c r="I909" s="50" t="s">
        <v>1483</v>
      </c>
      <c r="J909" s="58" t="s">
        <v>3176</v>
      </c>
      <c r="K909" s="52" t="s">
        <v>2386</v>
      </c>
      <c r="L909" s="59">
        <v>42488</v>
      </c>
      <c r="M909" s="60">
        <f>L909+120</f>
        <v>42608</v>
      </c>
      <c r="N909" s="51">
        <v>0</v>
      </c>
      <c r="O909" s="59"/>
      <c r="P909" s="59"/>
      <c r="Q909" s="51"/>
      <c r="R909" s="51">
        <f>N909+Q909</f>
        <v>0</v>
      </c>
      <c r="S909" s="51"/>
      <c r="T909" s="52" t="s">
        <v>32</v>
      </c>
      <c r="U909" s="51"/>
      <c r="V909" s="51"/>
      <c r="W909" s="51"/>
      <c r="X909" s="51"/>
      <c r="Y909" s="19" t="s">
        <v>3340</v>
      </c>
      <c r="Z909" s="19" t="s">
        <v>4307</v>
      </c>
      <c r="AA909" s="28"/>
      <c r="AB909" s="56"/>
      <c r="AC909" s="28"/>
      <c r="AD909" s="28"/>
      <c r="AE909" s="54"/>
      <c r="AF909" s="54"/>
      <c r="AG909" s="54"/>
      <c r="AH909" s="53"/>
      <c r="AI909" s="53" t="s">
        <v>1591</v>
      </c>
      <c r="AJ909" s="53" t="s">
        <v>1591</v>
      </c>
    </row>
    <row r="910" spans="1:36" s="3" customFormat="1" ht="60" x14ac:dyDescent="0.25">
      <c r="A910" s="17" t="s">
        <v>2809</v>
      </c>
      <c r="B910" s="18" t="s">
        <v>37</v>
      </c>
      <c r="C910" s="19"/>
      <c r="D910" s="45" t="s">
        <v>3012</v>
      </c>
      <c r="E910" s="50"/>
      <c r="F910" s="58" t="s">
        <v>1471</v>
      </c>
      <c r="G910" s="51">
        <v>0</v>
      </c>
      <c r="H910" s="51">
        <v>0</v>
      </c>
      <c r="I910" s="50" t="s">
        <v>3184</v>
      </c>
      <c r="J910" s="58" t="s">
        <v>3185</v>
      </c>
      <c r="K910" s="52" t="s">
        <v>2952</v>
      </c>
      <c r="L910" s="59"/>
      <c r="M910" s="60" t="s">
        <v>150</v>
      </c>
      <c r="N910" s="51">
        <v>0</v>
      </c>
      <c r="O910" s="59"/>
      <c r="P910" s="59"/>
      <c r="Q910" s="51"/>
      <c r="R910" s="51">
        <f>N910+Q910</f>
        <v>0</v>
      </c>
      <c r="S910" s="51"/>
      <c r="T910" s="52" t="s">
        <v>32</v>
      </c>
      <c r="U910" s="51"/>
      <c r="V910" s="51"/>
      <c r="W910" s="51"/>
      <c r="X910" s="51"/>
      <c r="Y910" s="19" t="s">
        <v>3344</v>
      </c>
      <c r="Z910" s="19" t="s">
        <v>4307</v>
      </c>
      <c r="AA910" s="28"/>
      <c r="AB910" s="56"/>
      <c r="AC910" s="28"/>
      <c r="AD910" s="28"/>
      <c r="AE910" s="54"/>
      <c r="AF910" s="54"/>
      <c r="AG910" s="54"/>
      <c r="AH910" s="53"/>
      <c r="AI910" s="53" t="s">
        <v>1591</v>
      </c>
      <c r="AJ910" s="53" t="s">
        <v>1591</v>
      </c>
    </row>
    <row r="911" spans="1:36" s="3" customFormat="1" ht="84" x14ac:dyDescent="0.25">
      <c r="A911" s="17" t="s">
        <v>141</v>
      </c>
      <c r="B911" s="18" t="s">
        <v>37</v>
      </c>
      <c r="C911" s="76" t="s">
        <v>5177</v>
      </c>
      <c r="D911" s="45" t="s">
        <v>5178</v>
      </c>
      <c r="E911" s="78"/>
      <c r="F911" s="79"/>
      <c r="G911" s="80"/>
      <c r="H911" s="80"/>
      <c r="I911" s="78" t="s">
        <v>5179</v>
      </c>
      <c r="J911" s="79" t="s">
        <v>5180</v>
      </c>
      <c r="K911" s="81"/>
      <c r="L911" s="82"/>
      <c r="M911" s="83"/>
      <c r="N911" s="80"/>
      <c r="O911" s="82"/>
      <c r="P911" s="84"/>
      <c r="Q911" s="80">
        <v>0</v>
      </c>
      <c r="R911" s="80"/>
      <c r="S911" s="80"/>
      <c r="T911" s="81"/>
      <c r="U911" s="80"/>
      <c r="V911" s="80"/>
      <c r="W911" s="80"/>
      <c r="X911" s="80">
        <v>12832</v>
      </c>
      <c r="Y911" s="76" t="s">
        <v>142</v>
      </c>
      <c r="Z911" s="19" t="s">
        <v>7038</v>
      </c>
      <c r="AA911" s="28" t="s">
        <v>7819</v>
      </c>
      <c r="AB911" s="56">
        <v>43412</v>
      </c>
      <c r="AC911" s="28" t="s">
        <v>7820</v>
      </c>
      <c r="AD911" s="28" t="s">
        <v>7821</v>
      </c>
      <c r="AE911" s="54" t="s">
        <v>7822</v>
      </c>
      <c r="AF911" s="54"/>
      <c r="AG911" s="54" t="s">
        <v>7823</v>
      </c>
      <c r="AH911" s="53" t="s">
        <v>1591</v>
      </c>
      <c r="AI911" s="53" t="s">
        <v>2686</v>
      </c>
      <c r="AJ911" s="53" t="s">
        <v>1591</v>
      </c>
    </row>
    <row r="912" spans="1:36" s="3" customFormat="1" ht="84" x14ac:dyDescent="0.25">
      <c r="A912" s="17" t="s">
        <v>141</v>
      </c>
      <c r="B912" s="18" t="s">
        <v>37</v>
      </c>
      <c r="C912" s="76" t="s">
        <v>5181</v>
      </c>
      <c r="D912" s="45" t="s">
        <v>5182</v>
      </c>
      <c r="E912" s="78" t="s">
        <v>5183</v>
      </c>
      <c r="F912" s="79" t="s">
        <v>5184</v>
      </c>
      <c r="G912" s="80">
        <v>500000</v>
      </c>
      <c r="H912" s="80"/>
      <c r="I912" s="78" t="s">
        <v>145</v>
      </c>
      <c r="J912" s="79" t="s">
        <v>5185</v>
      </c>
      <c r="K912" s="81"/>
      <c r="L912" s="82"/>
      <c r="M912" s="83"/>
      <c r="N912" s="80"/>
      <c r="O912" s="82"/>
      <c r="P912" s="84"/>
      <c r="Q912" s="80">
        <v>0</v>
      </c>
      <c r="R912" s="80"/>
      <c r="S912" s="80"/>
      <c r="T912" s="81"/>
      <c r="U912" s="80"/>
      <c r="V912" s="80"/>
      <c r="W912" s="80"/>
      <c r="X912" s="80">
        <v>27812.560000000001</v>
      </c>
      <c r="Y912" s="76" t="s">
        <v>142</v>
      </c>
      <c r="Z912" s="19" t="s">
        <v>7038</v>
      </c>
      <c r="AA912" s="28" t="s">
        <v>7819</v>
      </c>
      <c r="AB912" s="56">
        <v>43412</v>
      </c>
      <c r="AC912" s="28" t="s">
        <v>7820</v>
      </c>
      <c r="AD912" s="28" t="s">
        <v>7821</v>
      </c>
      <c r="AE912" s="54" t="s">
        <v>7824</v>
      </c>
      <c r="AF912" s="54"/>
      <c r="AG912" s="54" t="s">
        <v>7823</v>
      </c>
      <c r="AH912" s="53" t="s">
        <v>1591</v>
      </c>
      <c r="AI912" s="53" t="s">
        <v>2686</v>
      </c>
      <c r="AJ912" s="53" t="s">
        <v>1591</v>
      </c>
    </row>
    <row r="913" spans="1:36" s="3" customFormat="1" ht="60" x14ac:dyDescent="0.25">
      <c r="A913" s="17" t="s">
        <v>141</v>
      </c>
      <c r="B913" s="18" t="s">
        <v>37</v>
      </c>
      <c r="C913" s="76" t="s">
        <v>5169</v>
      </c>
      <c r="D913" s="45" t="s">
        <v>5170</v>
      </c>
      <c r="E913" s="78" t="s">
        <v>5171</v>
      </c>
      <c r="F913" s="79" t="s">
        <v>5172</v>
      </c>
      <c r="G913" s="80">
        <v>333850</v>
      </c>
      <c r="H913" s="80"/>
      <c r="I913" s="78" t="s">
        <v>144</v>
      </c>
      <c r="J913" s="79" t="s">
        <v>5173</v>
      </c>
      <c r="K913" s="81"/>
      <c r="L913" s="82"/>
      <c r="M913" s="83"/>
      <c r="N913" s="80"/>
      <c r="O913" s="82"/>
      <c r="P913" s="84"/>
      <c r="Q913" s="80">
        <v>0</v>
      </c>
      <c r="R913" s="80"/>
      <c r="S913" s="80"/>
      <c r="T913" s="81"/>
      <c r="U913" s="80"/>
      <c r="V913" s="80"/>
      <c r="W913" s="80"/>
      <c r="X913" s="80">
        <v>89224.49</v>
      </c>
      <c r="Y913" s="76" t="s">
        <v>142</v>
      </c>
      <c r="Z913" s="19" t="s">
        <v>7038</v>
      </c>
      <c r="AA913" s="28" t="s">
        <v>7819</v>
      </c>
      <c r="AB913" s="56">
        <v>43412</v>
      </c>
      <c r="AC913" s="28" t="s">
        <v>7820</v>
      </c>
      <c r="AD913" s="28" t="s">
        <v>7821</v>
      </c>
      <c r="AE913" s="54" t="s">
        <v>7825</v>
      </c>
      <c r="AF913" s="54"/>
      <c r="AG913" s="54" t="s">
        <v>7823</v>
      </c>
      <c r="AH913" s="53" t="s">
        <v>1591</v>
      </c>
      <c r="AI913" s="53" t="s">
        <v>2686</v>
      </c>
      <c r="AJ913" s="53" t="s">
        <v>1591</v>
      </c>
    </row>
    <row r="914" spans="1:36" s="3" customFormat="1" ht="72" x14ac:dyDescent="0.25">
      <c r="A914" s="17" t="s">
        <v>141</v>
      </c>
      <c r="B914" s="18" t="s">
        <v>37</v>
      </c>
      <c r="C914" s="76" t="s">
        <v>5174</v>
      </c>
      <c r="D914" s="45" t="s">
        <v>5175</v>
      </c>
      <c r="E914" s="78"/>
      <c r="F914" s="79"/>
      <c r="G914" s="80"/>
      <c r="H914" s="80"/>
      <c r="I914" s="78" t="s">
        <v>143</v>
      </c>
      <c r="J914" s="79" t="s">
        <v>5176</v>
      </c>
      <c r="K914" s="81"/>
      <c r="L914" s="82"/>
      <c r="M914" s="83"/>
      <c r="N914" s="80"/>
      <c r="O914" s="82"/>
      <c r="P914" s="84"/>
      <c r="Q914" s="80">
        <v>0</v>
      </c>
      <c r="R914" s="80"/>
      <c r="S914" s="80"/>
      <c r="T914" s="81"/>
      <c r="U914" s="80"/>
      <c r="V914" s="80"/>
      <c r="W914" s="80"/>
      <c r="X914" s="80">
        <v>110858.28</v>
      </c>
      <c r="Y914" s="76" t="s">
        <v>142</v>
      </c>
      <c r="Z914" s="19" t="s">
        <v>7038</v>
      </c>
      <c r="AA914" s="28" t="s">
        <v>7819</v>
      </c>
      <c r="AB914" s="56">
        <v>43412</v>
      </c>
      <c r="AC914" s="28" t="s">
        <v>7820</v>
      </c>
      <c r="AD914" s="28" t="s">
        <v>7821</v>
      </c>
      <c r="AE914" s="54" t="s">
        <v>7826</v>
      </c>
      <c r="AF914" s="54"/>
      <c r="AG914" s="54" t="s">
        <v>7823</v>
      </c>
      <c r="AH914" s="53" t="s">
        <v>1591</v>
      </c>
      <c r="AI914" s="53" t="s">
        <v>2686</v>
      </c>
      <c r="AJ914" s="53" t="s">
        <v>1591</v>
      </c>
    </row>
    <row r="915" spans="1:36" s="3" customFormat="1" ht="36" x14ac:dyDescent="0.25">
      <c r="A915" s="17" t="s">
        <v>146</v>
      </c>
      <c r="B915" s="18" t="s">
        <v>37</v>
      </c>
      <c r="C915" s="19" t="s">
        <v>293</v>
      </c>
      <c r="D915" s="45" t="s">
        <v>164</v>
      </c>
      <c r="E915" s="50" t="s">
        <v>165</v>
      </c>
      <c r="F915" s="58" t="s">
        <v>166</v>
      </c>
      <c r="G915" s="51">
        <v>2437500</v>
      </c>
      <c r="H915" s="51">
        <v>132018.75</v>
      </c>
      <c r="I915" s="50" t="s">
        <v>63</v>
      </c>
      <c r="J915" s="58" t="s">
        <v>167</v>
      </c>
      <c r="K915" s="52" t="s">
        <v>168</v>
      </c>
      <c r="L915" s="59">
        <v>41047</v>
      </c>
      <c r="M915" s="60">
        <f>L915+180</f>
        <v>41227</v>
      </c>
      <c r="N915" s="51">
        <v>2410471.17</v>
      </c>
      <c r="O915" s="59" t="s">
        <v>156</v>
      </c>
      <c r="P915" s="59">
        <f>M915+210</f>
        <v>41437</v>
      </c>
      <c r="Q915" s="51">
        <v>9153.8700000000008</v>
      </c>
      <c r="R915" s="51">
        <f>N915+Q915</f>
        <v>2419625.04</v>
      </c>
      <c r="S915" s="51">
        <v>2419625.04</v>
      </c>
      <c r="T915" s="52" t="s">
        <v>32</v>
      </c>
      <c r="U915" s="51" t="s">
        <v>46</v>
      </c>
      <c r="V915" s="51" t="s">
        <v>46</v>
      </c>
      <c r="W915" s="51"/>
      <c r="X915" s="51">
        <v>1854983.86</v>
      </c>
      <c r="Y915" s="19" t="s">
        <v>157</v>
      </c>
      <c r="Z915" s="19"/>
      <c r="AA915" s="28"/>
      <c r="AB915" s="56"/>
      <c r="AC915" s="28"/>
      <c r="AD915" s="28"/>
      <c r="AE915" s="54"/>
      <c r="AF915" s="54"/>
      <c r="AG915" s="54"/>
      <c r="AH915" s="53"/>
      <c r="AI915" s="53" t="s">
        <v>1591</v>
      </c>
      <c r="AJ915" s="53" t="s">
        <v>1591</v>
      </c>
    </row>
    <row r="916" spans="1:36" s="3" customFormat="1" ht="60" x14ac:dyDescent="0.25">
      <c r="A916" s="17" t="s">
        <v>146</v>
      </c>
      <c r="B916" s="18" t="s">
        <v>37</v>
      </c>
      <c r="C916" s="19" t="s">
        <v>1553</v>
      </c>
      <c r="D916" s="45" t="s">
        <v>176</v>
      </c>
      <c r="E916" s="50" t="s">
        <v>118</v>
      </c>
      <c r="F916" s="58" t="s">
        <v>177</v>
      </c>
      <c r="G916" s="51">
        <v>1962262.99</v>
      </c>
      <c r="H916" s="51"/>
      <c r="I916" s="50" t="s">
        <v>159</v>
      </c>
      <c r="J916" s="58" t="s">
        <v>178</v>
      </c>
      <c r="K916" s="52" t="s">
        <v>179</v>
      </c>
      <c r="L916" s="59">
        <v>42199</v>
      </c>
      <c r="M916" s="60">
        <f>L916+90</f>
        <v>42289</v>
      </c>
      <c r="N916" s="51">
        <v>1817104.55</v>
      </c>
      <c r="O916" s="59">
        <v>42734</v>
      </c>
      <c r="P916" s="59"/>
      <c r="Q916" s="51"/>
      <c r="R916" s="51">
        <f>N916+Q916</f>
        <v>1817104.55</v>
      </c>
      <c r="S916" s="51"/>
      <c r="T916" s="52" t="s">
        <v>32</v>
      </c>
      <c r="U916" s="51"/>
      <c r="V916" s="51"/>
      <c r="W916" s="51"/>
      <c r="X916" s="51">
        <v>1486611.63</v>
      </c>
      <c r="Y916" s="19" t="s">
        <v>157</v>
      </c>
      <c r="Z916" s="19"/>
      <c r="AA916" s="28"/>
      <c r="AB916" s="56"/>
      <c r="AC916" s="28"/>
      <c r="AD916" s="28"/>
      <c r="AE916" s="54"/>
      <c r="AF916" s="54"/>
      <c r="AG916" s="54"/>
      <c r="AH916" s="53"/>
      <c r="AI916" s="53" t="s">
        <v>1591</v>
      </c>
      <c r="AJ916" s="53" t="s">
        <v>1591</v>
      </c>
    </row>
    <row r="917" spans="1:36" s="3" customFormat="1" ht="48" x14ac:dyDescent="0.25">
      <c r="A917" s="35" t="s">
        <v>2859</v>
      </c>
      <c r="B917" s="18" t="s">
        <v>37</v>
      </c>
      <c r="C917" s="76"/>
      <c r="D917" s="43" t="s">
        <v>5186</v>
      </c>
      <c r="E917" s="78"/>
      <c r="F917" s="36" t="s">
        <v>5187</v>
      </c>
      <c r="G917" s="80"/>
      <c r="H917" s="80"/>
      <c r="I917" s="36" t="s">
        <v>5188</v>
      </c>
      <c r="J917" s="34" t="s">
        <v>5189</v>
      </c>
      <c r="K917" s="37"/>
      <c r="L917" s="38">
        <v>40312</v>
      </c>
      <c r="M917" s="39">
        <v>40432</v>
      </c>
      <c r="N917" s="42">
        <v>1620969.15</v>
      </c>
      <c r="O917" s="85" t="s">
        <v>2860</v>
      </c>
      <c r="P917" s="86" t="s">
        <v>2860</v>
      </c>
      <c r="Q917" s="41"/>
      <c r="R917" s="41">
        <v>1620969.15</v>
      </c>
      <c r="S917" s="80"/>
      <c r="T917" s="81"/>
      <c r="U917" s="80"/>
      <c r="V917" s="80"/>
      <c r="W917" s="42"/>
      <c r="X917" s="42">
        <v>1170554.73</v>
      </c>
      <c r="Y917" s="34" t="s">
        <v>4321</v>
      </c>
      <c r="Z917" s="19" t="s">
        <v>7038</v>
      </c>
      <c r="AA917" s="28"/>
      <c r="AB917" s="56"/>
      <c r="AC917" s="28"/>
      <c r="AD917" s="28"/>
      <c r="AE917" s="54"/>
      <c r="AF917" s="54"/>
      <c r="AG917" s="54"/>
      <c r="AH917" s="53"/>
      <c r="AI917" s="53" t="s">
        <v>1591</v>
      </c>
      <c r="AJ917" s="53" t="s">
        <v>1591</v>
      </c>
    </row>
    <row r="918" spans="1:36" s="3" customFormat="1" ht="36" x14ac:dyDescent="0.25">
      <c r="A918" s="17" t="s">
        <v>146</v>
      </c>
      <c r="B918" s="18" t="s">
        <v>37</v>
      </c>
      <c r="C918" s="19" t="s">
        <v>169</v>
      </c>
      <c r="D918" s="45" t="s">
        <v>170</v>
      </c>
      <c r="E918" s="50"/>
      <c r="F918" s="58"/>
      <c r="G918" s="51"/>
      <c r="H918" s="51"/>
      <c r="I918" s="50" t="s">
        <v>53</v>
      </c>
      <c r="J918" s="58" t="s">
        <v>171</v>
      </c>
      <c r="K918" s="52" t="s">
        <v>172</v>
      </c>
      <c r="L918" s="59">
        <v>41262</v>
      </c>
      <c r="M918" s="60">
        <f>L918+210</f>
        <v>41472</v>
      </c>
      <c r="N918" s="51">
        <v>1201536.3700000001</v>
      </c>
      <c r="O918" s="59" t="s">
        <v>156</v>
      </c>
      <c r="P918" s="59"/>
      <c r="Q918" s="51"/>
      <c r="R918" s="51">
        <f>N918+Q918</f>
        <v>1201536.3700000001</v>
      </c>
      <c r="S918" s="51"/>
      <c r="T918" s="52" t="s">
        <v>173</v>
      </c>
      <c r="U918" s="51" t="s">
        <v>46</v>
      </c>
      <c r="V918" s="51" t="s">
        <v>46</v>
      </c>
      <c r="W918" s="51"/>
      <c r="X918" s="51">
        <v>1135451.74</v>
      </c>
      <c r="Y918" s="19" t="s">
        <v>157</v>
      </c>
      <c r="Z918" s="19"/>
      <c r="AA918" s="28"/>
      <c r="AB918" s="56"/>
      <c r="AC918" s="28"/>
      <c r="AD918" s="28"/>
      <c r="AE918" s="54"/>
      <c r="AF918" s="54"/>
      <c r="AG918" s="54"/>
      <c r="AH918" s="53"/>
      <c r="AI918" s="53" t="s">
        <v>1591</v>
      </c>
      <c r="AJ918" s="53" t="s">
        <v>1591</v>
      </c>
    </row>
    <row r="919" spans="1:36" s="3" customFormat="1" ht="36" x14ac:dyDescent="0.25">
      <c r="A919" s="35" t="s">
        <v>2859</v>
      </c>
      <c r="B919" s="18" t="s">
        <v>37</v>
      </c>
      <c r="C919" s="76"/>
      <c r="D919" s="43" t="s">
        <v>5190</v>
      </c>
      <c r="E919" s="78"/>
      <c r="F919" s="36" t="s">
        <v>5187</v>
      </c>
      <c r="G919" s="80"/>
      <c r="H919" s="80"/>
      <c r="I919" s="36" t="s">
        <v>5191</v>
      </c>
      <c r="J919" s="34" t="s">
        <v>5192</v>
      </c>
      <c r="K919" s="37"/>
      <c r="L919" s="38">
        <v>39792</v>
      </c>
      <c r="M919" s="39">
        <v>39912</v>
      </c>
      <c r="N919" s="42">
        <v>432266.28</v>
      </c>
      <c r="O919" s="85"/>
      <c r="P919" s="86">
        <v>39912</v>
      </c>
      <c r="Q919" s="41"/>
      <c r="R919" s="41">
        <v>432266.28</v>
      </c>
      <c r="S919" s="80"/>
      <c r="T919" s="81"/>
      <c r="U919" s="80"/>
      <c r="V919" s="80"/>
      <c r="W919" s="42"/>
      <c r="X919" s="42">
        <v>264680.84000000003</v>
      </c>
      <c r="Y919" s="34" t="s">
        <v>4321</v>
      </c>
      <c r="Z919" s="19" t="s">
        <v>7038</v>
      </c>
      <c r="AA919" s="28"/>
      <c r="AB919" s="56"/>
      <c r="AC919" s="28"/>
      <c r="AD919" s="28"/>
      <c r="AE919" s="54"/>
      <c r="AF919" s="54"/>
      <c r="AG919" s="54"/>
      <c r="AH919" s="53"/>
      <c r="AI919" s="53" t="s">
        <v>1591</v>
      </c>
      <c r="AJ919" s="53" t="s">
        <v>1591</v>
      </c>
    </row>
    <row r="920" spans="1:36" s="3" customFormat="1" ht="24" x14ac:dyDescent="0.25">
      <c r="A920" s="17" t="s">
        <v>146</v>
      </c>
      <c r="B920" s="18" t="s">
        <v>37</v>
      </c>
      <c r="C920" s="19" t="s">
        <v>158</v>
      </c>
      <c r="D920" s="45"/>
      <c r="E920" s="50"/>
      <c r="F920" s="58"/>
      <c r="G920" s="51"/>
      <c r="H920" s="51"/>
      <c r="I920" s="50" t="s">
        <v>159</v>
      </c>
      <c r="J920" s="58" t="s">
        <v>160</v>
      </c>
      <c r="K920" s="52" t="s">
        <v>161</v>
      </c>
      <c r="L920" s="59">
        <v>41904</v>
      </c>
      <c r="M920" s="60">
        <f>L920+120</f>
        <v>42024</v>
      </c>
      <c r="N920" s="51">
        <v>376888.76</v>
      </c>
      <c r="O920" s="59" t="s">
        <v>156</v>
      </c>
      <c r="P920" s="59"/>
      <c r="Q920" s="51">
        <v>45789.57</v>
      </c>
      <c r="R920" s="51">
        <f>N920+Q920</f>
        <v>422678.33</v>
      </c>
      <c r="S920" s="51">
        <v>422678.33</v>
      </c>
      <c r="T920" s="52" t="s">
        <v>163</v>
      </c>
      <c r="U920" s="51" t="s">
        <v>46</v>
      </c>
      <c r="V920" s="51" t="s">
        <v>46</v>
      </c>
      <c r="W920" s="51"/>
      <c r="X920" s="51">
        <v>181344.71</v>
      </c>
      <c r="Y920" s="19" t="s">
        <v>157</v>
      </c>
      <c r="Z920" s="19" t="s">
        <v>4310</v>
      </c>
      <c r="AA920" s="28"/>
      <c r="AB920" s="56"/>
      <c r="AC920" s="28"/>
      <c r="AD920" s="28"/>
      <c r="AE920" s="54"/>
      <c r="AF920" s="54"/>
      <c r="AG920" s="54"/>
      <c r="AH920" s="53"/>
      <c r="AI920" s="53" t="s">
        <v>1591</v>
      </c>
      <c r="AJ920" s="53" t="s">
        <v>1591</v>
      </c>
    </row>
    <row r="921" spans="1:36" s="3" customFormat="1" ht="72" x14ac:dyDescent="0.25">
      <c r="A921" s="17" t="s">
        <v>146</v>
      </c>
      <c r="B921" s="18" t="s">
        <v>37</v>
      </c>
      <c r="C921" s="19" t="s">
        <v>151</v>
      </c>
      <c r="D921" s="45" t="s">
        <v>152</v>
      </c>
      <c r="E921" s="50"/>
      <c r="F921" s="58"/>
      <c r="G921" s="51"/>
      <c r="H921" s="51"/>
      <c r="I921" s="50" t="s">
        <v>153</v>
      </c>
      <c r="J921" s="58" t="s">
        <v>154</v>
      </c>
      <c r="K921" s="52" t="s">
        <v>155</v>
      </c>
      <c r="L921" s="59">
        <v>42016</v>
      </c>
      <c r="M921" s="60">
        <f>L921+90</f>
        <v>42106</v>
      </c>
      <c r="N921" s="51">
        <v>348418.45</v>
      </c>
      <c r="O921" s="59" t="s">
        <v>156</v>
      </c>
      <c r="P921" s="59"/>
      <c r="Q921" s="51">
        <v>21376.05</v>
      </c>
      <c r="R921" s="51">
        <f>N921+Q921</f>
        <v>369794.5</v>
      </c>
      <c r="S921" s="51">
        <v>369794.5</v>
      </c>
      <c r="T921" s="52" t="s">
        <v>32</v>
      </c>
      <c r="U921" s="51" t="s">
        <v>46</v>
      </c>
      <c r="V921" s="51" t="s">
        <v>46</v>
      </c>
      <c r="W921" s="51"/>
      <c r="X921" s="51">
        <v>243335.41</v>
      </c>
      <c r="Y921" s="19" t="s">
        <v>157</v>
      </c>
      <c r="Z921" s="19"/>
      <c r="AA921" s="28"/>
      <c r="AB921" s="56"/>
      <c r="AC921" s="28"/>
      <c r="AD921" s="28"/>
      <c r="AE921" s="54"/>
      <c r="AF921" s="54"/>
      <c r="AG921" s="54"/>
      <c r="AH921" s="53"/>
      <c r="AI921" s="53" t="s">
        <v>1591</v>
      </c>
      <c r="AJ921" s="53" t="s">
        <v>1591</v>
      </c>
    </row>
    <row r="922" spans="1:36" s="3" customFormat="1" ht="48" x14ac:dyDescent="0.25">
      <c r="A922" s="35" t="s">
        <v>2859</v>
      </c>
      <c r="B922" s="18" t="s">
        <v>37</v>
      </c>
      <c r="C922" s="76"/>
      <c r="D922" s="43" t="s">
        <v>5193</v>
      </c>
      <c r="E922" s="78"/>
      <c r="F922" s="36" t="s">
        <v>5194</v>
      </c>
      <c r="G922" s="80"/>
      <c r="H922" s="80"/>
      <c r="I922" s="36" t="s">
        <v>5195</v>
      </c>
      <c r="J922" s="34" t="s">
        <v>5196</v>
      </c>
      <c r="K922" s="37" t="s">
        <v>5197</v>
      </c>
      <c r="L922" s="38">
        <v>40909</v>
      </c>
      <c r="M922" s="39">
        <v>41029</v>
      </c>
      <c r="N922" s="42">
        <v>284982.78999999998</v>
      </c>
      <c r="O922" s="85"/>
      <c r="P922" s="86"/>
      <c r="Q922" s="41">
        <v>73021.77</v>
      </c>
      <c r="R922" s="41">
        <v>358004.56</v>
      </c>
      <c r="S922" s="80"/>
      <c r="T922" s="81"/>
      <c r="U922" s="80"/>
      <c r="V922" s="80"/>
      <c r="W922" s="42"/>
      <c r="X922" s="42">
        <v>171754.87</v>
      </c>
      <c r="Y922" s="34" t="s">
        <v>4321</v>
      </c>
      <c r="Z922" s="19" t="s">
        <v>7038</v>
      </c>
      <c r="AA922" s="28"/>
      <c r="AB922" s="56"/>
      <c r="AC922" s="28"/>
      <c r="AD922" s="28"/>
      <c r="AE922" s="54"/>
      <c r="AF922" s="54"/>
      <c r="AG922" s="54"/>
      <c r="AH922" s="53"/>
      <c r="AI922" s="53" t="s">
        <v>1591</v>
      </c>
      <c r="AJ922" s="53" t="s">
        <v>1591</v>
      </c>
    </row>
    <row r="923" spans="1:36" s="3" customFormat="1" ht="36" x14ac:dyDescent="0.25">
      <c r="A923" s="35" t="s">
        <v>2859</v>
      </c>
      <c r="B923" s="18" t="s">
        <v>37</v>
      </c>
      <c r="C923" s="76"/>
      <c r="D923" s="43" t="s">
        <v>5198</v>
      </c>
      <c r="E923" s="78"/>
      <c r="F923" s="36" t="s">
        <v>46</v>
      </c>
      <c r="G923" s="80"/>
      <c r="H923" s="80"/>
      <c r="I923" s="36" t="s">
        <v>920</v>
      </c>
      <c r="J923" s="34" t="s">
        <v>5199</v>
      </c>
      <c r="K923" s="37" t="s">
        <v>979</v>
      </c>
      <c r="L923" s="38">
        <v>42131</v>
      </c>
      <c r="M923" s="39">
        <v>42143</v>
      </c>
      <c r="N923" s="42">
        <v>147936.01999999999</v>
      </c>
      <c r="O923" s="85" t="s">
        <v>180</v>
      </c>
      <c r="P923" s="86">
        <v>42143</v>
      </c>
      <c r="Q923" s="41"/>
      <c r="R923" s="41">
        <v>147936.01999999999</v>
      </c>
      <c r="S923" s="80"/>
      <c r="T923" s="81"/>
      <c r="U923" s="80"/>
      <c r="V923" s="80"/>
      <c r="W923" s="42"/>
      <c r="X923" s="42">
        <v>39846.76</v>
      </c>
      <c r="Y923" s="34" t="s">
        <v>4321</v>
      </c>
      <c r="Z923" s="19" t="s">
        <v>7038</v>
      </c>
      <c r="AA923" s="28"/>
      <c r="AB923" s="56"/>
      <c r="AC923" s="28"/>
      <c r="AD923" s="28"/>
      <c r="AE923" s="54"/>
      <c r="AF923" s="54"/>
      <c r="AG923" s="54"/>
      <c r="AH923" s="53"/>
      <c r="AI923" s="53" t="s">
        <v>1591</v>
      </c>
      <c r="AJ923" s="53" t="s">
        <v>1591</v>
      </c>
    </row>
    <row r="924" spans="1:36" s="3" customFormat="1" ht="72" x14ac:dyDescent="0.25">
      <c r="A924" s="35" t="s">
        <v>2839</v>
      </c>
      <c r="B924" s="18" t="s">
        <v>37</v>
      </c>
      <c r="C924" s="76"/>
      <c r="D924" s="43" t="s">
        <v>5200</v>
      </c>
      <c r="E924" s="78"/>
      <c r="F924" s="36" t="s">
        <v>5201</v>
      </c>
      <c r="G924" s="80"/>
      <c r="H924" s="80"/>
      <c r="I924" s="36">
        <v>10952038000118</v>
      </c>
      <c r="J924" s="34" t="s">
        <v>5202</v>
      </c>
      <c r="K924" s="37" t="s">
        <v>5203</v>
      </c>
      <c r="L924" s="38">
        <v>41271</v>
      </c>
      <c r="M924" s="39">
        <v>41451</v>
      </c>
      <c r="N924" s="42">
        <v>2957440.79</v>
      </c>
      <c r="O924" s="85"/>
      <c r="P924" s="86"/>
      <c r="Q924" s="41"/>
      <c r="R924" s="41">
        <v>2957440.79</v>
      </c>
      <c r="S924" s="80"/>
      <c r="T924" s="81"/>
      <c r="U924" s="80"/>
      <c r="V924" s="80"/>
      <c r="W924" s="42"/>
      <c r="X924" s="42">
        <v>1161657.9300000002</v>
      </c>
      <c r="Y924" s="34" t="s">
        <v>4321</v>
      </c>
      <c r="Z924" s="19" t="s">
        <v>7038</v>
      </c>
      <c r="AA924" s="28"/>
      <c r="AB924" s="56"/>
      <c r="AC924" s="28"/>
      <c r="AD924" s="28"/>
      <c r="AE924" s="54"/>
      <c r="AF924" s="54"/>
      <c r="AG924" s="54"/>
      <c r="AH924" s="53"/>
      <c r="AI924" s="53" t="s">
        <v>1591</v>
      </c>
      <c r="AJ924" s="53" t="s">
        <v>1591</v>
      </c>
    </row>
    <row r="925" spans="1:36" s="3" customFormat="1" ht="36" x14ac:dyDescent="0.25">
      <c r="A925" s="17" t="s">
        <v>2839</v>
      </c>
      <c r="B925" s="18" t="s">
        <v>37</v>
      </c>
      <c r="C925" s="19" t="s">
        <v>1934</v>
      </c>
      <c r="D925" s="45" t="s">
        <v>3022</v>
      </c>
      <c r="E925" s="50"/>
      <c r="F925" s="58"/>
      <c r="G925" s="51">
        <v>408000</v>
      </c>
      <c r="H925" s="51">
        <v>54743.37</v>
      </c>
      <c r="I925" s="50" t="s">
        <v>916</v>
      </c>
      <c r="J925" s="58" t="s">
        <v>3193</v>
      </c>
      <c r="K925" s="52" t="s">
        <v>345</v>
      </c>
      <c r="L925" s="59">
        <v>42439</v>
      </c>
      <c r="M925" s="60">
        <f>L925+360</f>
        <v>42799</v>
      </c>
      <c r="N925" s="51">
        <v>462743.37</v>
      </c>
      <c r="O925" s="59"/>
      <c r="P925" s="59"/>
      <c r="Q925" s="51"/>
      <c r="R925" s="51">
        <f>N925+Q925</f>
        <v>462743.37</v>
      </c>
      <c r="S925" s="51"/>
      <c r="T925" s="52" t="s">
        <v>52</v>
      </c>
      <c r="U925" s="51">
        <v>108132.85</v>
      </c>
      <c r="V925" s="51">
        <v>48400</v>
      </c>
      <c r="W925" s="51">
        <v>48400</v>
      </c>
      <c r="X925" s="51">
        <v>338976.17</v>
      </c>
      <c r="Y925" s="19" t="s">
        <v>330</v>
      </c>
      <c r="Z925" s="19"/>
      <c r="AA925" s="28"/>
      <c r="AB925" s="56"/>
      <c r="AC925" s="28"/>
      <c r="AD925" s="28"/>
      <c r="AE925" s="54"/>
      <c r="AF925" s="54"/>
      <c r="AG925" s="54"/>
      <c r="AH925" s="53"/>
      <c r="AI925" s="53" t="s">
        <v>1591</v>
      </c>
      <c r="AJ925" s="53" t="s">
        <v>1591</v>
      </c>
    </row>
    <row r="926" spans="1:36" s="3" customFormat="1" ht="24" x14ac:dyDescent="0.25">
      <c r="A926" s="17" t="s">
        <v>1320</v>
      </c>
      <c r="B926" s="18" t="s">
        <v>37</v>
      </c>
      <c r="C926" s="19" t="s">
        <v>1328</v>
      </c>
      <c r="D926" s="45" t="s">
        <v>1324</v>
      </c>
      <c r="E926" s="50" t="s">
        <v>1329</v>
      </c>
      <c r="F926" s="58" t="s">
        <v>1330</v>
      </c>
      <c r="G926" s="51" t="s">
        <v>3197</v>
      </c>
      <c r="H926" s="51"/>
      <c r="I926" s="50" t="s">
        <v>558</v>
      </c>
      <c r="J926" s="58" t="s">
        <v>1327</v>
      </c>
      <c r="K926" s="52" t="s">
        <v>46</v>
      </c>
      <c r="L926" s="59">
        <v>40361</v>
      </c>
      <c r="M926" s="60">
        <v>43092</v>
      </c>
      <c r="N926" s="51">
        <v>494515.09</v>
      </c>
      <c r="O926" s="59"/>
      <c r="P926" s="59"/>
      <c r="Q926" s="51"/>
      <c r="R926" s="51">
        <f t="shared" ref="R926:R932" si="39">N926+Q926</f>
        <v>494515.09</v>
      </c>
      <c r="S926" s="51"/>
      <c r="T926" s="52" t="s">
        <v>52</v>
      </c>
      <c r="U926" s="51" t="s">
        <v>46</v>
      </c>
      <c r="V926" s="51"/>
      <c r="W926" s="51"/>
      <c r="X926" s="51" t="s">
        <v>3347</v>
      </c>
      <c r="Y926" s="19" t="s">
        <v>157</v>
      </c>
      <c r="Z926" s="19"/>
      <c r="AA926" s="28"/>
      <c r="AB926" s="56"/>
      <c r="AC926" s="28"/>
      <c r="AD926" s="28"/>
      <c r="AE926" s="54"/>
      <c r="AF926" s="54"/>
      <c r="AG926" s="54"/>
      <c r="AH926" s="53"/>
      <c r="AI926" s="53" t="s">
        <v>1591</v>
      </c>
      <c r="AJ926" s="53" t="s">
        <v>1591</v>
      </c>
    </row>
    <row r="927" spans="1:36" s="3" customFormat="1" ht="48" x14ac:dyDescent="0.25">
      <c r="A927" s="17" t="s">
        <v>1320</v>
      </c>
      <c r="B927" s="18" t="s">
        <v>37</v>
      </c>
      <c r="C927" s="19" t="s">
        <v>676</v>
      </c>
      <c r="D927" s="45" t="s">
        <v>3023</v>
      </c>
      <c r="E927" s="50" t="s">
        <v>3199</v>
      </c>
      <c r="F927" s="58" t="s">
        <v>751</v>
      </c>
      <c r="G927" s="51">
        <v>394200</v>
      </c>
      <c r="H927" s="51"/>
      <c r="I927" s="50" t="s">
        <v>79</v>
      </c>
      <c r="J927" s="58" t="s">
        <v>1136</v>
      </c>
      <c r="K927" s="52" t="s">
        <v>31</v>
      </c>
      <c r="L927" s="59">
        <v>42905</v>
      </c>
      <c r="M927" s="60">
        <v>43174</v>
      </c>
      <c r="N927" s="51">
        <v>419730.54</v>
      </c>
      <c r="O927" s="59"/>
      <c r="P927" s="59"/>
      <c r="Q927" s="51"/>
      <c r="R927" s="51">
        <f t="shared" si="39"/>
        <v>419730.54</v>
      </c>
      <c r="S927" s="51"/>
      <c r="T927" s="52" t="s">
        <v>52</v>
      </c>
      <c r="U927" s="51" t="s">
        <v>46</v>
      </c>
      <c r="V927" s="51"/>
      <c r="W927" s="51"/>
      <c r="X927" s="51"/>
      <c r="Y927" s="19" t="s">
        <v>133</v>
      </c>
      <c r="Z927" s="19"/>
      <c r="AA927" s="28"/>
      <c r="AB927" s="56"/>
      <c r="AC927" s="28"/>
      <c r="AD927" s="28"/>
      <c r="AE927" s="54"/>
      <c r="AF927" s="54"/>
      <c r="AG927" s="54"/>
      <c r="AH927" s="53"/>
      <c r="AI927" s="53" t="s">
        <v>1591</v>
      </c>
      <c r="AJ927" s="53" t="s">
        <v>1591</v>
      </c>
    </row>
    <row r="928" spans="1:36" s="3" customFormat="1" ht="36" x14ac:dyDescent="0.25">
      <c r="A928" s="17" t="s">
        <v>1320</v>
      </c>
      <c r="B928" s="18" t="s">
        <v>37</v>
      </c>
      <c r="C928" s="19" t="s">
        <v>57</v>
      </c>
      <c r="D928" s="45" t="s">
        <v>1321</v>
      </c>
      <c r="E928" s="50" t="s">
        <v>46</v>
      </c>
      <c r="F928" s="58" t="s">
        <v>677</v>
      </c>
      <c r="G928" s="51" t="s">
        <v>46</v>
      </c>
      <c r="H928" s="51"/>
      <c r="I928" s="50" t="s">
        <v>775</v>
      </c>
      <c r="J928" s="58" t="s">
        <v>1322</v>
      </c>
      <c r="K928" s="52" t="s">
        <v>46</v>
      </c>
      <c r="L928" s="59">
        <v>42387</v>
      </c>
      <c r="M928" s="60">
        <v>43286</v>
      </c>
      <c r="N928" s="51">
        <v>400905.07</v>
      </c>
      <c r="O928" s="59"/>
      <c r="P928" s="59"/>
      <c r="Q928" s="51"/>
      <c r="R928" s="51">
        <f t="shared" si="39"/>
        <v>400905.07</v>
      </c>
      <c r="S928" s="51"/>
      <c r="T928" s="52" t="s">
        <v>52</v>
      </c>
      <c r="U928" s="51" t="s">
        <v>46</v>
      </c>
      <c r="V928" s="51"/>
      <c r="W928" s="51">
        <v>25377.97</v>
      </c>
      <c r="X928" s="51">
        <v>323720.05</v>
      </c>
      <c r="Y928" s="19" t="s">
        <v>133</v>
      </c>
      <c r="Z928" s="19"/>
      <c r="AA928" s="28"/>
      <c r="AB928" s="56"/>
      <c r="AC928" s="28"/>
      <c r="AD928" s="28"/>
      <c r="AE928" s="54"/>
      <c r="AF928" s="54"/>
      <c r="AG928" s="54"/>
      <c r="AH928" s="53"/>
      <c r="AI928" s="53" t="s">
        <v>1591</v>
      </c>
      <c r="AJ928" s="53" t="s">
        <v>1591</v>
      </c>
    </row>
    <row r="929" spans="1:36" s="3" customFormat="1" ht="24" x14ac:dyDescent="0.25">
      <c r="A929" s="17" t="s">
        <v>1320</v>
      </c>
      <c r="B929" s="18" t="s">
        <v>37</v>
      </c>
      <c r="C929" s="19" t="s">
        <v>1323</v>
      </c>
      <c r="D929" s="45" t="s">
        <v>1324</v>
      </c>
      <c r="E929" s="50" t="s">
        <v>1325</v>
      </c>
      <c r="F929" s="58" t="s">
        <v>1326</v>
      </c>
      <c r="G929" s="51">
        <v>245850</v>
      </c>
      <c r="H929" s="51"/>
      <c r="I929" s="50" t="s">
        <v>558</v>
      </c>
      <c r="J929" s="58" t="s">
        <v>1327</v>
      </c>
      <c r="K929" s="52" t="s">
        <v>46</v>
      </c>
      <c r="L929" s="59">
        <v>40245</v>
      </c>
      <c r="M929" s="60">
        <v>42424</v>
      </c>
      <c r="N929" s="51">
        <v>251340.11</v>
      </c>
      <c r="O929" s="59"/>
      <c r="P929" s="59"/>
      <c r="Q929" s="51"/>
      <c r="R929" s="51">
        <f t="shared" si="39"/>
        <v>251340.11</v>
      </c>
      <c r="S929" s="51"/>
      <c r="T929" s="52" t="s">
        <v>52</v>
      </c>
      <c r="U929" s="51" t="s">
        <v>46</v>
      </c>
      <c r="V929" s="51"/>
      <c r="W929" s="51"/>
      <c r="X929" s="51">
        <v>219323.21</v>
      </c>
      <c r="Y929" s="19" t="s">
        <v>149</v>
      </c>
      <c r="Z929" s="19"/>
      <c r="AA929" s="28"/>
      <c r="AB929" s="56"/>
      <c r="AC929" s="28"/>
      <c r="AD929" s="28"/>
      <c r="AE929" s="54"/>
      <c r="AF929" s="54"/>
      <c r="AG929" s="54"/>
      <c r="AH929" s="53"/>
      <c r="AI929" s="53" t="s">
        <v>1591</v>
      </c>
      <c r="AJ929" s="53" t="s">
        <v>1591</v>
      </c>
    </row>
    <row r="930" spans="1:36" s="3" customFormat="1" ht="24" x14ac:dyDescent="0.25">
      <c r="A930" s="17" t="s">
        <v>1320</v>
      </c>
      <c r="B930" s="18" t="s">
        <v>37</v>
      </c>
      <c r="C930" s="19" t="s">
        <v>721</v>
      </c>
      <c r="D930" s="45" t="s">
        <v>1346</v>
      </c>
      <c r="E930" s="50" t="s">
        <v>155</v>
      </c>
      <c r="F930" s="58" t="s">
        <v>661</v>
      </c>
      <c r="G930" s="51">
        <v>155086.29999999999</v>
      </c>
      <c r="H930" s="51"/>
      <c r="I930" s="50" t="s">
        <v>517</v>
      </c>
      <c r="J930" s="58" t="s">
        <v>1347</v>
      </c>
      <c r="K930" s="52" t="s">
        <v>46</v>
      </c>
      <c r="L930" s="59">
        <v>42065</v>
      </c>
      <c r="M930" s="60">
        <v>43114</v>
      </c>
      <c r="N930" s="51">
        <v>174738.37</v>
      </c>
      <c r="O930" s="59"/>
      <c r="P930" s="59"/>
      <c r="Q930" s="51"/>
      <c r="R930" s="51">
        <f t="shared" si="39"/>
        <v>174738.37</v>
      </c>
      <c r="S930" s="51"/>
      <c r="T930" s="52" t="s">
        <v>52</v>
      </c>
      <c r="U930" s="51" t="s">
        <v>46</v>
      </c>
      <c r="V930" s="51"/>
      <c r="W930" s="51"/>
      <c r="X930" s="51">
        <v>126507.53</v>
      </c>
      <c r="Y930" s="19" t="s">
        <v>149</v>
      </c>
      <c r="Z930" s="19"/>
      <c r="AA930" s="28"/>
      <c r="AB930" s="56"/>
      <c r="AC930" s="28"/>
      <c r="AD930" s="28"/>
      <c r="AE930" s="54"/>
      <c r="AF930" s="54"/>
      <c r="AG930" s="54"/>
      <c r="AH930" s="53"/>
      <c r="AI930" s="53" t="s">
        <v>1591</v>
      </c>
      <c r="AJ930" s="53" t="s">
        <v>1591</v>
      </c>
    </row>
    <row r="931" spans="1:36" s="3" customFormat="1" ht="48" x14ac:dyDescent="0.25">
      <c r="A931" s="17" t="s">
        <v>1320</v>
      </c>
      <c r="B931" s="18" t="s">
        <v>37</v>
      </c>
      <c r="C931" s="19" t="s">
        <v>85</v>
      </c>
      <c r="D931" s="45" t="s">
        <v>1345</v>
      </c>
      <c r="E931" s="50" t="s">
        <v>46</v>
      </c>
      <c r="F931" s="58" t="s">
        <v>46</v>
      </c>
      <c r="G931" s="51" t="s">
        <v>645</v>
      </c>
      <c r="H931" s="51"/>
      <c r="I931" s="50" t="s">
        <v>79</v>
      </c>
      <c r="J931" s="58" t="s">
        <v>1136</v>
      </c>
      <c r="K931" s="52" t="s">
        <v>46</v>
      </c>
      <c r="L931" s="59">
        <v>41887</v>
      </c>
      <c r="M931" s="60">
        <v>42936</v>
      </c>
      <c r="N931" s="51">
        <v>163725.91</v>
      </c>
      <c r="O931" s="59"/>
      <c r="P931" s="59"/>
      <c r="Q931" s="51"/>
      <c r="R931" s="51">
        <f t="shared" si="39"/>
        <v>163725.91</v>
      </c>
      <c r="S931" s="51"/>
      <c r="T931" s="52" t="s">
        <v>52</v>
      </c>
      <c r="U931" s="51" t="s">
        <v>46</v>
      </c>
      <c r="V931" s="51"/>
      <c r="W931" s="51"/>
      <c r="X931" s="51">
        <v>115901.99</v>
      </c>
      <c r="Y931" s="19" t="s">
        <v>149</v>
      </c>
      <c r="Z931" s="19"/>
      <c r="AA931" s="28"/>
      <c r="AB931" s="56"/>
      <c r="AC931" s="28"/>
      <c r="AD931" s="28"/>
      <c r="AE931" s="54"/>
      <c r="AF931" s="54"/>
      <c r="AG931" s="54"/>
      <c r="AH931" s="53"/>
      <c r="AI931" s="53" t="s">
        <v>1591</v>
      </c>
      <c r="AJ931" s="53" t="s">
        <v>1591</v>
      </c>
    </row>
    <row r="932" spans="1:36" s="3" customFormat="1" ht="24" x14ac:dyDescent="0.25">
      <c r="A932" s="17" t="s">
        <v>1320</v>
      </c>
      <c r="B932" s="18" t="s">
        <v>37</v>
      </c>
      <c r="C932" s="19" t="s">
        <v>1336</v>
      </c>
      <c r="D932" s="45" t="s">
        <v>1337</v>
      </c>
      <c r="E932" s="50" t="s">
        <v>46</v>
      </c>
      <c r="F932" s="58" t="s">
        <v>46</v>
      </c>
      <c r="G932" s="51" t="s">
        <v>46</v>
      </c>
      <c r="H932" s="51"/>
      <c r="I932" s="50" t="s">
        <v>1338</v>
      </c>
      <c r="J932" s="58" t="s">
        <v>1339</v>
      </c>
      <c r="K932" s="52" t="s">
        <v>278</v>
      </c>
      <c r="L932" s="59">
        <v>41374</v>
      </c>
      <c r="M932" s="60" t="s">
        <v>3292</v>
      </c>
      <c r="N932" s="51">
        <v>146480.5</v>
      </c>
      <c r="O932" s="59"/>
      <c r="P932" s="59"/>
      <c r="Q932" s="51"/>
      <c r="R932" s="51">
        <f t="shared" si="39"/>
        <v>146480.5</v>
      </c>
      <c r="S932" s="51"/>
      <c r="T932" s="52" t="s">
        <v>52</v>
      </c>
      <c r="U932" s="51" t="s">
        <v>46</v>
      </c>
      <c r="V932" s="51"/>
      <c r="W932" s="51"/>
      <c r="X932" s="51" t="s">
        <v>3349</v>
      </c>
      <c r="Y932" s="19" t="s">
        <v>149</v>
      </c>
      <c r="Z932" s="19"/>
      <c r="AA932" s="28"/>
      <c r="AB932" s="56"/>
      <c r="AC932" s="28"/>
      <c r="AD932" s="28"/>
      <c r="AE932" s="54"/>
      <c r="AF932" s="54"/>
      <c r="AG932" s="54"/>
      <c r="AH932" s="53"/>
      <c r="AI932" s="53" t="s">
        <v>1591</v>
      </c>
      <c r="AJ932" s="53" t="s">
        <v>1591</v>
      </c>
    </row>
    <row r="933" spans="1:36" s="3" customFormat="1" ht="24" x14ac:dyDescent="0.25">
      <c r="A933" s="17" t="s">
        <v>1320</v>
      </c>
      <c r="B933" s="18" t="s">
        <v>37</v>
      </c>
      <c r="C933" s="19" t="s">
        <v>1341</v>
      </c>
      <c r="D933" s="45" t="s">
        <v>1342</v>
      </c>
      <c r="E933" s="50" t="s">
        <v>46</v>
      </c>
      <c r="F933" s="58" t="s">
        <v>46</v>
      </c>
      <c r="G933" s="51" t="s">
        <v>645</v>
      </c>
      <c r="H933" s="51"/>
      <c r="I933" s="50" t="s">
        <v>700</v>
      </c>
      <c r="J933" s="58" t="s">
        <v>1343</v>
      </c>
      <c r="K933" s="52" t="s">
        <v>46</v>
      </c>
      <c r="L933" s="59">
        <v>41673</v>
      </c>
      <c r="M933" s="60" t="s">
        <v>3293</v>
      </c>
      <c r="N933" s="51">
        <v>140536.14000000001</v>
      </c>
      <c r="O933" s="59"/>
      <c r="P933" s="59"/>
      <c r="Q933" s="51"/>
      <c r="R933" s="51">
        <f t="shared" ref="R933:R943" si="40">N933+Q933</f>
        <v>140536.14000000001</v>
      </c>
      <c r="S933" s="51"/>
      <c r="T933" s="52" t="s">
        <v>52</v>
      </c>
      <c r="U933" s="51" t="s">
        <v>46</v>
      </c>
      <c r="V933" s="51"/>
      <c r="W933" s="51"/>
      <c r="X933" s="51" t="s">
        <v>3350</v>
      </c>
      <c r="Y933" s="19" t="s">
        <v>149</v>
      </c>
      <c r="Z933" s="19"/>
      <c r="AA933" s="28"/>
      <c r="AB933" s="56"/>
      <c r="AC933" s="28"/>
      <c r="AD933" s="28"/>
      <c r="AE933" s="54"/>
      <c r="AF933" s="54"/>
      <c r="AG933" s="54"/>
      <c r="AH933" s="53"/>
      <c r="AI933" s="53" t="s">
        <v>1591</v>
      </c>
      <c r="AJ933" s="53" t="s">
        <v>1591</v>
      </c>
    </row>
    <row r="934" spans="1:36" s="3" customFormat="1" ht="48" x14ac:dyDescent="0.25">
      <c r="A934" s="17" t="s">
        <v>1320</v>
      </c>
      <c r="B934" s="18" t="s">
        <v>37</v>
      </c>
      <c r="C934" s="19" t="s">
        <v>1093</v>
      </c>
      <c r="D934" s="45" t="s">
        <v>1348</v>
      </c>
      <c r="E934" s="50" t="s">
        <v>46</v>
      </c>
      <c r="F934" s="58" t="s">
        <v>46</v>
      </c>
      <c r="G934" s="51" t="s">
        <v>645</v>
      </c>
      <c r="H934" s="51"/>
      <c r="I934" s="50" t="s">
        <v>79</v>
      </c>
      <c r="J934" s="58" t="s">
        <v>1136</v>
      </c>
      <c r="K934" s="52" t="s">
        <v>46</v>
      </c>
      <c r="L934" s="59">
        <v>42109</v>
      </c>
      <c r="M934" s="60">
        <v>42588</v>
      </c>
      <c r="N934" s="51">
        <v>132760.73000000001</v>
      </c>
      <c r="O934" s="59"/>
      <c r="P934" s="59"/>
      <c r="Q934" s="51"/>
      <c r="R934" s="51">
        <f t="shared" si="40"/>
        <v>132760.73000000001</v>
      </c>
      <c r="S934" s="51"/>
      <c r="T934" s="52" t="s">
        <v>52</v>
      </c>
      <c r="U934" s="51" t="s">
        <v>46</v>
      </c>
      <c r="V934" s="51"/>
      <c r="W934" s="51"/>
      <c r="X934" s="51">
        <v>110061.72</v>
      </c>
      <c r="Y934" s="19" t="s">
        <v>149</v>
      </c>
      <c r="Z934" s="19"/>
      <c r="AA934" s="28"/>
      <c r="AB934" s="56"/>
      <c r="AC934" s="28"/>
      <c r="AD934" s="28"/>
      <c r="AE934" s="54"/>
      <c r="AF934" s="54"/>
      <c r="AG934" s="54"/>
      <c r="AH934" s="53"/>
      <c r="AI934" s="53" t="s">
        <v>1591</v>
      </c>
      <c r="AJ934" s="53" t="s">
        <v>1591</v>
      </c>
    </row>
    <row r="935" spans="1:36" s="3" customFormat="1" ht="24" x14ac:dyDescent="0.25">
      <c r="A935" s="17" t="s">
        <v>1320</v>
      </c>
      <c r="B935" s="18" t="s">
        <v>37</v>
      </c>
      <c r="C935" s="19" t="s">
        <v>1332</v>
      </c>
      <c r="D935" s="45" t="s">
        <v>1324</v>
      </c>
      <c r="E935" s="50" t="s">
        <v>1300</v>
      </c>
      <c r="F935" s="58" t="s">
        <v>1333</v>
      </c>
      <c r="G935" s="51">
        <v>90000</v>
      </c>
      <c r="H935" s="51"/>
      <c r="I935" s="50" t="s">
        <v>79</v>
      </c>
      <c r="J935" s="58" t="s">
        <v>1334</v>
      </c>
      <c r="K935" s="52" t="s">
        <v>1335</v>
      </c>
      <c r="L935" s="59">
        <v>41088</v>
      </c>
      <c r="M935" s="60">
        <v>43127</v>
      </c>
      <c r="N935" s="51">
        <v>104528.41</v>
      </c>
      <c r="O935" s="59"/>
      <c r="P935" s="59"/>
      <c r="Q935" s="51"/>
      <c r="R935" s="51">
        <f t="shared" si="40"/>
        <v>104528.41</v>
      </c>
      <c r="S935" s="51"/>
      <c r="T935" s="52" t="s">
        <v>52</v>
      </c>
      <c r="U935" s="51" t="s">
        <v>46</v>
      </c>
      <c r="V935" s="51"/>
      <c r="W935" s="51"/>
      <c r="X935" s="51" t="s">
        <v>3348</v>
      </c>
      <c r="Y935" s="19" t="s">
        <v>149</v>
      </c>
      <c r="Z935" s="19"/>
      <c r="AA935" s="28"/>
      <c r="AB935" s="56"/>
      <c r="AC935" s="28"/>
      <c r="AD935" s="28"/>
      <c r="AE935" s="54"/>
      <c r="AF935" s="54"/>
      <c r="AG935" s="54"/>
      <c r="AH935" s="53"/>
      <c r="AI935" s="53" t="s">
        <v>1591</v>
      </c>
      <c r="AJ935" s="53" t="s">
        <v>1591</v>
      </c>
    </row>
    <row r="936" spans="1:36" s="3" customFormat="1" ht="36" x14ac:dyDescent="0.25">
      <c r="A936" s="17" t="s">
        <v>1320</v>
      </c>
      <c r="B936" s="18" t="s">
        <v>37</v>
      </c>
      <c r="C936" s="19" t="s">
        <v>55</v>
      </c>
      <c r="D936" s="45" t="s">
        <v>1324</v>
      </c>
      <c r="E936" s="50" t="s">
        <v>3198</v>
      </c>
      <c r="F936" s="58" t="s">
        <v>751</v>
      </c>
      <c r="G936" s="51">
        <v>493100</v>
      </c>
      <c r="H936" s="51"/>
      <c r="I936" s="50" t="s">
        <v>46</v>
      </c>
      <c r="J936" s="58" t="s">
        <v>46</v>
      </c>
      <c r="K936" s="52" t="s">
        <v>46</v>
      </c>
      <c r="L936" s="59" t="s">
        <v>46</v>
      </c>
      <c r="M936" s="60" t="s">
        <v>645</v>
      </c>
      <c r="N936" s="51"/>
      <c r="O936" s="59"/>
      <c r="P936" s="59"/>
      <c r="Q936" s="51"/>
      <c r="R936" s="51">
        <f t="shared" si="40"/>
        <v>0</v>
      </c>
      <c r="S936" s="51"/>
      <c r="T936" s="52" t="s">
        <v>46</v>
      </c>
      <c r="U936" s="51" t="s">
        <v>46</v>
      </c>
      <c r="V936" s="51"/>
      <c r="W936" s="51"/>
      <c r="X936" s="51"/>
      <c r="Y936" s="19" t="s">
        <v>903</v>
      </c>
      <c r="Z936" s="19" t="s">
        <v>4309</v>
      </c>
      <c r="AA936" s="28"/>
      <c r="AB936" s="56"/>
      <c r="AC936" s="28"/>
      <c r="AD936" s="28"/>
      <c r="AE936" s="54"/>
      <c r="AF936" s="54"/>
      <c r="AG936" s="54"/>
      <c r="AH936" s="53"/>
      <c r="AI936" s="53" t="s">
        <v>1591</v>
      </c>
      <c r="AJ936" s="53" t="s">
        <v>1591</v>
      </c>
    </row>
    <row r="937" spans="1:36" s="3" customFormat="1" ht="36" x14ac:dyDescent="0.25">
      <c r="A937" s="17" t="s">
        <v>1320</v>
      </c>
      <c r="B937" s="18" t="s">
        <v>37</v>
      </c>
      <c r="C937" s="19" t="s">
        <v>1349</v>
      </c>
      <c r="D937" s="45" t="s">
        <v>1350</v>
      </c>
      <c r="E937" s="50" t="s">
        <v>46</v>
      </c>
      <c r="F937" s="58" t="s">
        <v>46</v>
      </c>
      <c r="G937" s="51" t="s">
        <v>46</v>
      </c>
      <c r="H937" s="51"/>
      <c r="I937" s="50" t="s">
        <v>46</v>
      </c>
      <c r="J937" s="58" t="s">
        <v>46</v>
      </c>
      <c r="K937" s="52" t="s">
        <v>46</v>
      </c>
      <c r="L937" s="59" t="s">
        <v>46</v>
      </c>
      <c r="M937" s="60" t="s">
        <v>46</v>
      </c>
      <c r="N937" s="51"/>
      <c r="O937" s="59"/>
      <c r="P937" s="59"/>
      <c r="Q937" s="51"/>
      <c r="R937" s="51">
        <f t="shared" si="40"/>
        <v>0</v>
      </c>
      <c r="S937" s="51"/>
      <c r="T937" s="52" t="s">
        <v>46</v>
      </c>
      <c r="U937" s="51" t="s">
        <v>46</v>
      </c>
      <c r="V937" s="51"/>
      <c r="W937" s="51"/>
      <c r="X937" s="51"/>
      <c r="Y937" s="19" t="s">
        <v>903</v>
      </c>
      <c r="Z937" s="19" t="s">
        <v>4309</v>
      </c>
      <c r="AA937" s="28"/>
      <c r="AB937" s="56"/>
      <c r="AC937" s="28"/>
      <c r="AD937" s="28"/>
      <c r="AE937" s="54"/>
      <c r="AF937" s="54"/>
      <c r="AG937" s="54"/>
      <c r="AH937" s="53"/>
      <c r="AI937" s="53" t="s">
        <v>1591</v>
      </c>
      <c r="AJ937" s="53" t="s">
        <v>1591</v>
      </c>
    </row>
    <row r="938" spans="1:36" s="3" customFormat="1" ht="108" x14ac:dyDescent="0.25">
      <c r="A938" s="17" t="s">
        <v>1351</v>
      </c>
      <c r="B938" s="18" t="s">
        <v>37</v>
      </c>
      <c r="C938" s="19" t="s">
        <v>1367</v>
      </c>
      <c r="D938" s="45" t="s">
        <v>1368</v>
      </c>
      <c r="E938" s="50" t="s">
        <v>1369</v>
      </c>
      <c r="F938" s="58" t="s">
        <v>1370</v>
      </c>
      <c r="G938" s="51">
        <v>1641666.82</v>
      </c>
      <c r="H938" s="51">
        <v>107355.99</v>
      </c>
      <c r="I938" s="50" t="s">
        <v>1353</v>
      </c>
      <c r="J938" s="58" t="s">
        <v>1354</v>
      </c>
      <c r="K938" s="52" t="s">
        <v>1371</v>
      </c>
      <c r="L938" s="59">
        <v>42174</v>
      </c>
      <c r="M938" s="60">
        <f>L938+60</f>
        <v>42234</v>
      </c>
      <c r="N938" s="51">
        <v>1749022.81</v>
      </c>
      <c r="O938" s="59">
        <v>0</v>
      </c>
      <c r="P938" s="59">
        <v>0</v>
      </c>
      <c r="Q938" s="51"/>
      <c r="R938" s="51">
        <f t="shared" si="40"/>
        <v>1749022.81</v>
      </c>
      <c r="S938" s="51"/>
      <c r="T938" s="52" t="s">
        <v>3352</v>
      </c>
      <c r="U938" s="51">
        <v>147351.53</v>
      </c>
      <c r="V938" s="51">
        <v>106400.07</v>
      </c>
      <c r="W938" s="51">
        <v>106400.07</v>
      </c>
      <c r="X938" s="51">
        <v>253751.6</v>
      </c>
      <c r="Y938" s="19" t="s">
        <v>2384</v>
      </c>
      <c r="Z938" s="19"/>
      <c r="AA938" s="28" t="s">
        <v>7827</v>
      </c>
      <c r="AB938" s="56">
        <v>43441</v>
      </c>
      <c r="AC938" s="28" t="s">
        <v>7828</v>
      </c>
      <c r="AD938" s="28" t="s">
        <v>7829</v>
      </c>
      <c r="AE938" s="54" t="s">
        <v>7830</v>
      </c>
      <c r="AF938" s="54"/>
      <c r="AG938" s="54" t="s">
        <v>7831</v>
      </c>
      <c r="AH938" s="53" t="s">
        <v>1591</v>
      </c>
      <c r="AI938" s="53" t="s">
        <v>2686</v>
      </c>
      <c r="AJ938" s="53" t="s">
        <v>1591</v>
      </c>
    </row>
    <row r="939" spans="1:36" s="3" customFormat="1" ht="84" x14ac:dyDescent="0.25">
      <c r="A939" s="17" t="s">
        <v>1351</v>
      </c>
      <c r="B939" s="18" t="s">
        <v>37</v>
      </c>
      <c r="C939" s="19" t="s">
        <v>1361</v>
      </c>
      <c r="D939" s="45"/>
      <c r="E939" s="50" t="s">
        <v>1362</v>
      </c>
      <c r="F939" s="58" t="s">
        <v>1363</v>
      </c>
      <c r="G939" s="51">
        <v>1262667.04</v>
      </c>
      <c r="H939" s="51">
        <v>52611.13</v>
      </c>
      <c r="I939" s="50" t="s">
        <v>1364</v>
      </c>
      <c r="J939" s="58" t="s">
        <v>1365</v>
      </c>
      <c r="K939" s="52" t="s">
        <v>1366</v>
      </c>
      <c r="L939" s="59">
        <v>42160</v>
      </c>
      <c r="M939" s="60">
        <f>L939+365</f>
        <v>42525</v>
      </c>
      <c r="N939" s="51">
        <v>1315278.17</v>
      </c>
      <c r="O939" s="59">
        <v>0</v>
      </c>
      <c r="P939" s="59">
        <v>0</v>
      </c>
      <c r="Q939" s="51"/>
      <c r="R939" s="51">
        <f t="shared" si="40"/>
        <v>1315278.17</v>
      </c>
      <c r="S939" s="51"/>
      <c r="T939" s="52" t="s">
        <v>45</v>
      </c>
      <c r="U939" s="51">
        <v>867348.18</v>
      </c>
      <c r="V939" s="51">
        <v>0</v>
      </c>
      <c r="W939" s="51">
        <v>0</v>
      </c>
      <c r="X939" s="51">
        <v>867348.18</v>
      </c>
      <c r="Y939" s="19" t="s">
        <v>2384</v>
      </c>
      <c r="Z939" s="19" t="s">
        <v>4310</v>
      </c>
      <c r="AA939" s="28" t="s">
        <v>7827</v>
      </c>
      <c r="AB939" s="56">
        <v>43441</v>
      </c>
      <c r="AC939" s="28" t="s">
        <v>7828</v>
      </c>
      <c r="AD939" s="28" t="s">
        <v>7829</v>
      </c>
      <c r="AE939" s="54" t="s">
        <v>7832</v>
      </c>
      <c r="AF939" s="54"/>
      <c r="AG939" s="54" t="s">
        <v>7833</v>
      </c>
      <c r="AH939" s="53" t="s">
        <v>1591</v>
      </c>
      <c r="AI939" s="53" t="s">
        <v>2686</v>
      </c>
      <c r="AJ939" s="53" t="s">
        <v>1591</v>
      </c>
    </row>
    <row r="940" spans="1:36" s="3" customFormat="1" ht="72" x14ac:dyDescent="0.25">
      <c r="A940" s="17" t="s">
        <v>1351</v>
      </c>
      <c r="B940" s="18" t="s">
        <v>37</v>
      </c>
      <c r="C940" s="19" t="s">
        <v>838</v>
      </c>
      <c r="D940" s="45" t="s">
        <v>1372</v>
      </c>
      <c r="E940" s="50" t="s">
        <v>1373</v>
      </c>
      <c r="F940" s="58" t="s">
        <v>1363</v>
      </c>
      <c r="G940" s="51">
        <v>987600</v>
      </c>
      <c r="H940" s="51">
        <v>175492.14</v>
      </c>
      <c r="I940" s="50" t="s">
        <v>333</v>
      </c>
      <c r="J940" s="58" t="s">
        <v>1360</v>
      </c>
      <c r="K940" s="52" t="s">
        <v>1374</v>
      </c>
      <c r="L940" s="59">
        <v>42122</v>
      </c>
      <c r="M940" s="60">
        <f>L940+365</f>
        <v>42487</v>
      </c>
      <c r="N940" s="51">
        <v>1163092.1399999999</v>
      </c>
      <c r="O940" s="59">
        <v>0</v>
      </c>
      <c r="P940" s="59">
        <v>0</v>
      </c>
      <c r="Q940" s="51"/>
      <c r="R940" s="51">
        <f t="shared" si="40"/>
        <v>1163092.1399999999</v>
      </c>
      <c r="S940" s="51"/>
      <c r="T940" s="52" t="s">
        <v>45</v>
      </c>
      <c r="U940" s="51">
        <v>1022367.09</v>
      </c>
      <c r="V940" s="51">
        <v>0</v>
      </c>
      <c r="W940" s="51">
        <v>0</v>
      </c>
      <c r="X940" s="51">
        <v>1022367.09</v>
      </c>
      <c r="Y940" s="19" t="s">
        <v>2384</v>
      </c>
      <c r="Z940" s="19"/>
      <c r="AA940" s="28" t="s">
        <v>7827</v>
      </c>
      <c r="AB940" s="56">
        <v>43441</v>
      </c>
      <c r="AC940" s="28" t="s">
        <v>7828</v>
      </c>
      <c r="AD940" s="28" t="s">
        <v>7829</v>
      </c>
      <c r="AE940" s="54" t="s">
        <v>7834</v>
      </c>
      <c r="AF940" s="54"/>
      <c r="AG940" s="54" t="s">
        <v>7835</v>
      </c>
      <c r="AH940" s="53" t="s">
        <v>1591</v>
      </c>
      <c r="AI940" s="53" t="s">
        <v>2686</v>
      </c>
      <c r="AJ940" s="53" t="s">
        <v>1591</v>
      </c>
    </row>
    <row r="941" spans="1:36" s="3" customFormat="1" ht="72" x14ac:dyDescent="0.25">
      <c r="A941" s="17" t="s">
        <v>1351</v>
      </c>
      <c r="B941" s="18" t="s">
        <v>37</v>
      </c>
      <c r="C941" s="19" t="s">
        <v>1379</v>
      </c>
      <c r="D941" s="45" t="s">
        <v>1380</v>
      </c>
      <c r="E941" s="50" t="s">
        <v>1381</v>
      </c>
      <c r="F941" s="58" t="s">
        <v>1370</v>
      </c>
      <c r="G941" s="51">
        <v>1074005.45</v>
      </c>
      <c r="H941" s="51">
        <v>44750.239999999998</v>
      </c>
      <c r="I941" s="50" t="s">
        <v>1382</v>
      </c>
      <c r="J941" s="58" t="s">
        <v>1383</v>
      </c>
      <c r="K941" s="52" t="s">
        <v>1384</v>
      </c>
      <c r="L941" s="59">
        <v>42156</v>
      </c>
      <c r="M941" s="60">
        <f>L941+180</f>
        <v>42336</v>
      </c>
      <c r="N941" s="51">
        <v>1118755.69</v>
      </c>
      <c r="O941" s="59">
        <v>0</v>
      </c>
      <c r="P941" s="59">
        <v>0</v>
      </c>
      <c r="Q941" s="51"/>
      <c r="R941" s="51">
        <f t="shared" si="40"/>
        <v>1118755.69</v>
      </c>
      <c r="S941" s="51"/>
      <c r="T941" s="52" t="s">
        <v>45</v>
      </c>
      <c r="U941" s="51">
        <v>131730.9</v>
      </c>
      <c r="V941" s="51">
        <v>0</v>
      </c>
      <c r="W941" s="51">
        <v>0</v>
      </c>
      <c r="X941" s="51">
        <v>131730.9</v>
      </c>
      <c r="Y941" s="19" t="s">
        <v>2384</v>
      </c>
      <c r="Z941" s="19"/>
      <c r="AA941" s="28" t="s">
        <v>7827</v>
      </c>
      <c r="AB941" s="56">
        <v>43441</v>
      </c>
      <c r="AC941" s="28" t="s">
        <v>7828</v>
      </c>
      <c r="AD941" s="28" t="s">
        <v>7829</v>
      </c>
      <c r="AE941" s="54" t="s">
        <v>7836</v>
      </c>
      <c r="AF941" s="54"/>
      <c r="AG941" s="54" t="s">
        <v>7837</v>
      </c>
      <c r="AH941" s="53" t="s">
        <v>1591</v>
      </c>
      <c r="AI941" s="53" t="s">
        <v>2686</v>
      </c>
      <c r="AJ941" s="53" t="s">
        <v>1591</v>
      </c>
    </row>
    <row r="942" spans="1:36" s="3" customFormat="1" ht="72" x14ac:dyDescent="0.25">
      <c r="A942" s="17" t="s">
        <v>1351</v>
      </c>
      <c r="B942" s="18" t="s">
        <v>37</v>
      </c>
      <c r="C942" s="19" t="s">
        <v>841</v>
      </c>
      <c r="D942" s="45" t="s">
        <v>1375</v>
      </c>
      <c r="E942" s="50" t="s">
        <v>1376</v>
      </c>
      <c r="F942" s="58" t="s">
        <v>1370</v>
      </c>
      <c r="G942" s="51">
        <v>585000</v>
      </c>
      <c r="H942" s="51">
        <v>31615.39</v>
      </c>
      <c r="I942" s="50" t="s">
        <v>650</v>
      </c>
      <c r="J942" s="58" t="s">
        <v>1377</v>
      </c>
      <c r="K942" s="52" t="s">
        <v>1378</v>
      </c>
      <c r="L942" s="59">
        <v>42163</v>
      </c>
      <c r="M942" s="60">
        <f>L942+180</f>
        <v>42343</v>
      </c>
      <c r="N942" s="51">
        <v>616615.39</v>
      </c>
      <c r="O942" s="59">
        <v>0</v>
      </c>
      <c r="P942" s="59">
        <v>0</v>
      </c>
      <c r="Q942" s="51"/>
      <c r="R942" s="51">
        <f t="shared" si="40"/>
        <v>616615.39</v>
      </c>
      <c r="S942" s="51"/>
      <c r="T942" s="52" t="s">
        <v>45</v>
      </c>
      <c r="U942" s="51">
        <v>102407.16</v>
      </c>
      <c r="V942" s="51">
        <v>0</v>
      </c>
      <c r="W942" s="51">
        <v>0</v>
      </c>
      <c r="X942" s="51">
        <v>102407.16</v>
      </c>
      <c r="Y942" s="19" t="s">
        <v>2384</v>
      </c>
      <c r="Z942" s="19"/>
      <c r="AA942" s="28" t="s">
        <v>7827</v>
      </c>
      <c r="AB942" s="56">
        <v>43441</v>
      </c>
      <c r="AC942" s="28" t="s">
        <v>7828</v>
      </c>
      <c r="AD942" s="28" t="s">
        <v>7829</v>
      </c>
      <c r="AE942" s="54" t="s">
        <v>7838</v>
      </c>
      <c r="AF942" s="54"/>
      <c r="AG942" s="54" t="s">
        <v>7839</v>
      </c>
      <c r="AH942" s="53" t="s">
        <v>1591</v>
      </c>
      <c r="AI942" s="53" t="s">
        <v>2686</v>
      </c>
      <c r="AJ942" s="53" t="s">
        <v>1591</v>
      </c>
    </row>
    <row r="943" spans="1:36" s="3" customFormat="1" ht="48" x14ac:dyDescent="0.25">
      <c r="A943" s="17" t="s">
        <v>1351</v>
      </c>
      <c r="B943" s="18" t="s">
        <v>37</v>
      </c>
      <c r="C943" s="19" t="s">
        <v>1385</v>
      </c>
      <c r="D943" s="45" t="s">
        <v>1386</v>
      </c>
      <c r="E943" s="50"/>
      <c r="F943" s="58"/>
      <c r="G943" s="51"/>
      <c r="H943" s="51"/>
      <c r="I943" s="50" t="s">
        <v>1358</v>
      </c>
      <c r="J943" s="58" t="s">
        <v>1359</v>
      </c>
      <c r="K943" s="52" t="s">
        <v>1387</v>
      </c>
      <c r="L943" s="59">
        <v>42305</v>
      </c>
      <c r="M943" s="60">
        <f>L943+120</f>
        <v>42425</v>
      </c>
      <c r="N943" s="51">
        <v>515398.03</v>
      </c>
      <c r="O943" s="59"/>
      <c r="P943" s="59"/>
      <c r="Q943" s="51">
        <v>75814.12</v>
      </c>
      <c r="R943" s="51">
        <f t="shared" si="40"/>
        <v>591212.15</v>
      </c>
      <c r="S943" s="51"/>
      <c r="T943" s="52" t="s">
        <v>45</v>
      </c>
      <c r="U943" s="51">
        <v>398729.31</v>
      </c>
      <c r="V943" s="51">
        <v>0</v>
      </c>
      <c r="W943" s="51">
        <v>0</v>
      </c>
      <c r="X943" s="51">
        <v>398729.31</v>
      </c>
      <c r="Y943" s="19" t="s">
        <v>1863</v>
      </c>
      <c r="Z943" s="19"/>
      <c r="AA943" s="28" t="s">
        <v>7827</v>
      </c>
      <c r="AB943" s="56">
        <v>43441</v>
      </c>
      <c r="AC943" s="28" t="s">
        <v>7828</v>
      </c>
      <c r="AD943" s="28" t="s">
        <v>7829</v>
      </c>
      <c r="AE943" s="54" t="s">
        <v>7840</v>
      </c>
      <c r="AF943" s="54"/>
      <c r="AG943" s="54" t="s">
        <v>7841</v>
      </c>
      <c r="AH943" s="53" t="s">
        <v>1591</v>
      </c>
      <c r="AI943" s="53" t="s">
        <v>2686</v>
      </c>
      <c r="AJ943" s="53" t="s">
        <v>1591</v>
      </c>
    </row>
    <row r="944" spans="1:36" s="3" customFormat="1" ht="60" x14ac:dyDescent="0.25">
      <c r="A944" s="35" t="s">
        <v>2816</v>
      </c>
      <c r="B944" s="18" t="s">
        <v>37</v>
      </c>
      <c r="C944" s="76"/>
      <c r="D944" s="43" t="s">
        <v>5206</v>
      </c>
      <c r="E944" s="78"/>
      <c r="F944" s="36">
        <v>0</v>
      </c>
      <c r="G944" s="80"/>
      <c r="H944" s="80"/>
      <c r="I944" s="36" t="s">
        <v>1364</v>
      </c>
      <c r="J944" s="34" t="s">
        <v>5207</v>
      </c>
      <c r="K944" s="37" t="s">
        <v>5208</v>
      </c>
      <c r="L944" s="38">
        <v>41908</v>
      </c>
      <c r="M944" s="39">
        <v>42088</v>
      </c>
      <c r="N944" s="42">
        <v>421323.83</v>
      </c>
      <c r="O944" s="85"/>
      <c r="P944" s="86">
        <v>42088</v>
      </c>
      <c r="Q944" s="41"/>
      <c r="R944" s="41">
        <v>421323.83</v>
      </c>
      <c r="S944" s="80"/>
      <c r="T944" s="81"/>
      <c r="U944" s="80"/>
      <c r="V944" s="80"/>
      <c r="W944" s="42"/>
      <c r="X944" s="42">
        <v>114960.65</v>
      </c>
      <c r="Y944" s="34" t="s">
        <v>4321</v>
      </c>
      <c r="Z944" s="19" t="s">
        <v>7038</v>
      </c>
      <c r="AA944" s="28" t="s">
        <v>7827</v>
      </c>
      <c r="AB944" s="56">
        <v>43441</v>
      </c>
      <c r="AC944" s="28" t="s">
        <v>7828</v>
      </c>
      <c r="AD944" s="28" t="s">
        <v>7829</v>
      </c>
      <c r="AE944" s="54" t="s">
        <v>7842</v>
      </c>
      <c r="AF944" s="54"/>
      <c r="AG944" s="54" t="s">
        <v>7843</v>
      </c>
      <c r="AH944" s="53" t="s">
        <v>1591</v>
      </c>
      <c r="AI944" s="53" t="s">
        <v>2686</v>
      </c>
      <c r="AJ944" s="53" t="s">
        <v>1591</v>
      </c>
    </row>
    <row r="945" spans="1:36" s="3" customFormat="1" ht="48" x14ac:dyDescent="0.25">
      <c r="A945" s="17" t="s">
        <v>1351</v>
      </c>
      <c r="B945" s="18" t="s">
        <v>37</v>
      </c>
      <c r="C945" s="19" t="s">
        <v>1355</v>
      </c>
      <c r="D945" s="45" t="s">
        <v>1356</v>
      </c>
      <c r="E945" s="50"/>
      <c r="F945" s="58"/>
      <c r="G945" s="51"/>
      <c r="H945" s="51"/>
      <c r="I945" s="50" t="s">
        <v>639</v>
      </c>
      <c r="J945" s="58" t="s">
        <v>1357</v>
      </c>
      <c r="K945" s="52" t="s">
        <v>386</v>
      </c>
      <c r="L945" s="59">
        <v>42845</v>
      </c>
      <c r="M945" s="60">
        <f>L945+120</f>
        <v>42965</v>
      </c>
      <c r="N945" s="51">
        <v>211435.8</v>
      </c>
      <c r="O945" s="59">
        <v>0</v>
      </c>
      <c r="P945" s="59">
        <v>0</v>
      </c>
      <c r="Q945" s="51"/>
      <c r="R945" s="51">
        <f>N945+Q945</f>
        <v>211435.8</v>
      </c>
      <c r="S945" s="51"/>
      <c r="T945" s="52" t="s">
        <v>3351</v>
      </c>
      <c r="U945" s="51">
        <v>75701.16</v>
      </c>
      <c r="V945" s="51">
        <v>0</v>
      </c>
      <c r="W945" s="51">
        <v>0</v>
      </c>
      <c r="X945" s="51">
        <v>75701.16</v>
      </c>
      <c r="Y945" s="19" t="s">
        <v>2384</v>
      </c>
      <c r="Z945" s="19"/>
      <c r="AA945" s="28" t="s">
        <v>7827</v>
      </c>
      <c r="AB945" s="56">
        <v>43441</v>
      </c>
      <c r="AC945" s="28" t="s">
        <v>7828</v>
      </c>
      <c r="AD945" s="28" t="s">
        <v>7829</v>
      </c>
      <c r="AE945" s="54" t="s">
        <v>7844</v>
      </c>
      <c r="AF945" s="54"/>
      <c r="AG945" s="54" t="s">
        <v>7841</v>
      </c>
      <c r="AH945" s="53" t="s">
        <v>1591</v>
      </c>
      <c r="AI945" s="53" t="s">
        <v>2686</v>
      </c>
      <c r="AJ945" s="53" t="s">
        <v>1591</v>
      </c>
    </row>
    <row r="946" spans="1:36" s="3" customFormat="1" ht="60" x14ac:dyDescent="0.25">
      <c r="A946" s="17" t="s">
        <v>1351</v>
      </c>
      <c r="B946" s="18" t="s">
        <v>37</v>
      </c>
      <c r="C946" s="76" t="s">
        <v>1355</v>
      </c>
      <c r="D946" s="77" t="s">
        <v>5209</v>
      </c>
      <c r="E946" s="78" t="s">
        <v>1074</v>
      </c>
      <c r="F946" s="79" t="s">
        <v>1074</v>
      </c>
      <c r="G946" s="80">
        <v>0</v>
      </c>
      <c r="H946" s="80">
        <v>0</v>
      </c>
      <c r="I946" s="78" t="s">
        <v>1358</v>
      </c>
      <c r="J946" s="79" t="s">
        <v>1359</v>
      </c>
      <c r="K946" s="81" t="s">
        <v>835</v>
      </c>
      <c r="L946" s="82">
        <v>42124</v>
      </c>
      <c r="M946" s="83">
        <v>42244</v>
      </c>
      <c r="N946" s="80">
        <v>97589.94</v>
      </c>
      <c r="O946" s="82">
        <v>0</v>
      </c>
      <c r="P946" s="84"/>
      <c r="Q946" s="80">
        <v>0</v>
      </c>
      <c r="R946" s="80">
        <v>97589.94</v>
      </c>
      <c r="S946" s="80"/>
      <c r="T946" s="81" t="s">
        <v>45</v>
      </c>
      <c r="U946" s="80"/>
      <c r="V946" s="80"/>
      <c r="W946" s="80"/>
      <c r="X946" s="80"/>
      <c r="Y946" s="76" t="s">
        <v>5205</v>
      </c>
      <c r="Z946" s="19" t="s">
        <v>7038</v>
      </c>
      <c r="AA946" s="28" t="s">
        <v>7827</v>
      </c>
      <c r="AB946" s="56">
        <v>43441</v>
      </c>
      <c r="AC946" s="28" t="s">
        <v>7828</v>
      </c>
      <c r="AD946" s="28" t="s">
        <v>7829</v>
      </c>
      <c r="AE946" s="54" t="s">
        <v>7845</v>
      </c>
      <c r="AF946" s="54"/>
      <c r="AG946" s="54" t="s">
        <v>7846</v>
      </c>
      <c r="AH946" s="53" t="s">
        <v>1591</v>
      </c>
      <c r="AI946" s="53" t="s">
        <v>2686</v>
      </c>
      <c r="AJ946" s="53" t="s">
        <v>1591</v>
      </c>
    </row>
    <row r="947" spans="1:36" s="3" customFormat="1" ht="72" x14ac:dyDescent="0.25">
      <c r="A947" s="17" t="s">
        <v>1351</v>
      </c>
      <c r="B947" s="18" t="s">
        <v>37</v>
      </c>
      <c r="C947" s="19" t="s">
        <v>3024</v>
      </c>
      <c r="D947" s="45" t="s">
        <v>3025</v>
      </c>
      <c r="E947" s="50" t="s">
        <v>3201</v>
      </c>
      <c r="F947" s="58" t="s">
        <v>694</v>
      </c>
      <c r="G947" s="51">
        <v>3300000</v>
      </c>
      <c r="H947" s="51">
        <v>340055</v>
      </c>
      <c r="I947" s="50" t="s">
        <v>3202</v>
      </c>
      <c r="J947" s="58" t="s">
        <v>3203</v>
      </c>
      <c r="K947" s="52" t="s">
        <v>3204</v>
      </c>
      <c r="L947" s="59">
        <v>42702</v>
      </c>
      <c r="M947" s="60">
        <f>L947+180</f>
        <v>42882</v>
      </c>
      <c r="N947" s="51"/>
      <c r="O947" s="59" t="s">
        <v>46</v>
      </c>
      <c r="P947" s="59"/>
      <c r="Q947" s="51"/>
      <c r="R947" s="51">
        <f>N947+Q947</f>
        <v>0</v>
      </c>
      <c r="S947" s="51"/>
      <c r="T947" s="52"/>
      <c r="U947" s="51"/>
      <c r="V947" s="51">
        <v>0</v>
      </c>
      <c r="W947" s="51">
        <v>0</v>
      </c>
      <c r="X947" s="51"/>
      <c r="Y947" s="19" t="s">
        <v>3353</v>
      </c>
      <c r="Z947" s="19" t="s">
        <v>4307</v>
      </c>
      <c r="AA947" s="28" t="s">
        <v>7827</v>
      </c>
      <c r="AB947" s="56">
        <v>43441</v>
      </c>
      <c r="AC947" s="28" t="s">
        <v>7828</v>
      </c>
      <c r="AD947" s="28" t="s">
        <v>7829</v>
      </c>
      <c r="AE947" s="54" t="s">
        <v>7838</v>
      </c>
      <c r="AF947" s="54"/>
      <c r="AG947" s="54" t="s">
        <v>7847</v>
      </c>
      <c r="AH947" s="53" t="s">
        <v>1591</v>
      </c>
      <c r="AI947" s="53" t="s">
        <v>2686</v>
      </c>
      <c r="AJ947" s="53" t="s">
        <v>1591</v>
      </c>
    </row>
    <row r="948" spans="1:36" s="3" customFormat="1" ht="96" x14ac:dyDescent="0.25">
      <c r="A948" s="35" t="s">
        <v>2884</v>
      </c>
      <c r="B948" s="18" t="s">
        <v>37</v>
      </c>
      <c r="C948" s="19" t="s">
        <v>3026</v>
      </c>
      <c r="D948" s="43" t="s">
        <v>3027</v>
      </c>
      <c r="E948" s="50" t="s">
        <v>3207</v>
      </c>
      <c r="F948" s="36" t="s">
        <v>3205</v>
      </c>
      <c r="G948" s="51">
        <v>597920</v>
      </c>
      <c r="H948" s="51">
        <v>5920</v>
      </c>
      <c r="I948" s="36" t="s">
        <v>980</v>
      </c>
      <c r="J948" s="34" t="s">
        <v>3206</v>
      </c>
      <c r="K948" s="37" t="s">
        <v>3208</v>
      </c>
      <c r="L948" s="38">
        <v>42352</v>
      </c>
      <c r="M948" s="39">
        <f>L948+180</f>
        <v>42532</v>
      </c>
      <c r="N948" s="42">
        <v>537138.26</v>
      </c>
      <c r="O948" s="74">
        <v>44475</v>
      </c>
      <c r="P948" s="39">
        <f>M948+1458</f>
        <v>43990</v>
      </c>
      <c r="Q948" s="41">
        <v>8570.0400000000009</v>
      </c>
      <c r="R948" s="51">
        <f>N948+Q948</f>
        <v>545708.30000000005</v>
      </c>
      <c r="S948" s="51"/>
      <c r="T948" s="52">
        <v>449051</v>
      </c>
      <c r="U948" s="51">
        <v>0</v>
      </c>
      <c r="V948" s="51">
        <v>0</v>
      </c>
      <c r="W948" s="42">
        <v>0</v>
      </c>
      <c r="X948" s="42">
        <v>0</v>
      </c>
      <c r="Y948" s="34" t="s">
        <v>175</v>
      </c>
      <c r="Z948" s="34"/>
      <c r="AA948" s="28" t="s">
        <v>7848</v>
      </c>
      <c r="AB948" s="56">
        <v>43413</v>
      </c>
      <c r="AC948" s="28" t="s">
        <v>7849</v>
      </c>
      <c r="AD948" s="28" t="s">
        <v>7850</v>
      </c>
      <c r="AE948" s="54" t="s">
        <v>7851</v>
      </c>
      <c r="AF948" s="54"/>
      <c r="AG948" s="54" t="s">
        <v>7852</v>
      </c>
      <c r="AH948" s="53" t="s">
        <v>1591</v>
      </c>
      <c r="AI948" s="53" t="s">
        <v>2686</v>
      </c>
      <c r="AJ948" s="53" t="s">
        <v>1591</v>
      </c>
    </row>
    <row r="949" spans="1:36" s="3" customFormat="1" ht="36" x14ac:dyDescent="0.25">
      <c r="A949" s="17" t="s">
        <v>1389</v>
      </c>
      <c r="B949" s="18" t="s">
        <v>37</v>
      </c>
      <c r="C949" s="76" t="s">
        <v>5230</v>
      </c>
      <c r="D949" s="43" t="s">
        <v>5211</v>
      </c>
      <c r="E949" s="78" t="s">
        <v>5231</v>
      </c>
      <c r="F949" s="36" t="s">
        <v>5212</v>
      </c>
      <c r="G949" s="80">
        <v>2020000</v>
      </c>
      <c r="H949" s="80">
        <v>321475.27</v>
      </c>
      <c r="I949" s="36" t="s">
        <v>4424</v>
      </c>
      <c r="J949" s="34" t="s">
        <v>5232</v>
      </c>
      <c r="K949" s="37" t="s">
        <v>5213</v>
      </c>
      <c r="L949" s="38">
        <v>42240</v>
      </c>
      <c r="M949" s="39" t="s">
        <v>4455</v>
      </c>
      <c r="N949" s="42">
        <v>1944197.35</v>
      </c>
      <c r="O949" s="85">
        <v>41943</v>
      </c>
      <c r="P949" s="86" t="s">
        <v>5060</v>
      </c>
      <c r="Q949" s="41"/>
      <c r="R949" s="41">
        <v>1944197.35</v>
      </c>
      <c r="S949" s="80"/>
      <c r="T949" s="81" t="s">
        <v>52</v>
      </c>
      <c r="U949" s="80"/>
      <c r="V949" s="80"/>
      <c r="W949" s="42"/>
      <c r="X949" s="42">
        <v>569307.97</v>
      </c>
      <c r="Y949" s="34" t="s">
        <v>157</v>
      </c>
      <c r="Z949" s="19" t="s">
        <v>7038</v>
      </c>
      <c r="AA949" s="28"/>
      <c r="AB949" s="56"/>
      <c r="AC949" s="28"/>
      <c r="AD949" s="28"/>
      <c r="AE949" s="54"/>
      <c r="AF949" s="54"/>
      <c r="AG949" s="54"/>
      <c r="AH949" s="53"/>
      <c r="AI949" s="53" t="s">
        <v>1591</v>
      </c>
      <c r="AJ949" s="53" t="s">
        <v>1591</v>
      </c>
    </row>
    <row r="950" spans="1:36" s="3" customFormat="1" ht="48" x14ac:dyDescent="0.25">
      <c r="A950" s="17" t="s">
        <v>1389</v>
      </c>
      <c r="B950" s="18" t="s">
        <v>37</v>
      </c>
      <c r="C950" s="76" t="s">
        <v>95</v>
      </c>
      <c r="D950" s="43" t="s">
        <v>5221</v>
      </c>
      <c r="E950" s="78" t="s">
        <v>5222</v>
      </c>
      <c r="F950" s="36" t="s">
        <v>1435</v>
      </c>
      <c r="G950" s="80" t="s">
        <v>5223</v>
      </c>
      <c r="H950" s="80">
        <v>133051.5</v>
      </c>
      <c r="I950" s="36" t="s">
        <v>826</v>
      </c>
      <c r="J950" s="34" t="s">
        <v>5224</v>
      </c>
      <c r="K950" s="37" t="s">
        <v>5225</v>
      </c>
      <c r="L950" s="38">
        <v>42356</v>
      </c>
      <c r="M950" s="39" t="s">
        <v>364</v>
      </c>
      <c r="N950" s="42">
        <v>1463926.5</v>
      </c>
      <c r="O950" s="85">
        <v>42366</v>
      </c>
      <c r="P950" s="86"/>
      <c r="Q950" s="41"/>
      <c r="R950" s="41">
        <v>1463926.5</v>
      </c>
      <c r="S950" s="80"/>
      <c r="T950" s="81" t="s">
        <v>52</v>
      </c>
      <c r="U950" s="80"/>
      <c r="V950" s="80"/>
      <c r="W950" s="42"/>
      <c r="X950" s="42"/>
      <c r="Y950" s="34" t="s">
        <v>157</v>
      </c>
      <c r="Z950" s="19" t="s">
        <v>7038</v>
      </c>
      <c r="AA950" s="28"/>
      <c r="AB950" s="56"/>
      <c r="AC950" s="28"/>
      <c r="AD950" s="28"/>
      <c r="AE950" s="54"/>
      <c r="AF950" s="54"/>
      <c r="AG950" s="54"/>
      <c r="AH950" s="53"/>
      <c r="AI950" s="53" t="s">
        <v>1591</v>
      </c>
      <c r="AJ950" s="53" t="s">
        <v>1591</v>
      </c>
    </row>
    <row r="951" spans="1:36" s="3" customFormat="1" ht="60" x14ac:dyDescent="0.25">
      <c r="A951" s="17" t="s">
        <v>1389</v>
      </c>
      <c r="B951" s="18" t="s">
        <v>37</v>
      </c>
      <c r="C951" s="76" t="s">
        <v>57</v>
      </c>
      <c r="D951" s="43" t="s">
        <v>5215</v>
      </c>
      <c r="E951" s="78" t="s">
        <v>1982</v>
      </c>
      <c r="F951" s="36" t="s">
        <v>1432</v>
      </c>
      <c r="G951" s="80">
        <v>903119.32</v>
      </c>
      <c r="H951" s="80">
        <v>162065.43</v>
      </c>
      <c r="I951" s="36" t="s">
        <v>159</v>
      </c>
      <c r="J951" s="34" t="s">
        <v>1445</v>
      </c>
      <c r="K951" s="37" t="s">
        <v>1030</v>
      </c>
      <c r="L951" s="38">
        <v>42214</v>
      </c>
      <c r="M951" s="39" t="s">
        <v>364</v>
      </c>
      <c r="N951" s="42">
        <v>1051242.05</v>
      </c>
      <c r="O951" s="85">
        <v>42643</v>
      </c>
      <c r="P951" s="86"/>
      <c r="Q951" s="41"/>
      <c r="R951" s="41">
        <v>1051242.05</v>
      </c>
      <c r="S951" s="80"/>
      <c r="T951" s="81" t="s">
        <v>52</v>
      </c>
      <c r="U951" s="80" t="s">
        <v>5216</v>
      </c>
      <c r="V951" s="80"/>
      <c r="W951" s="42"/>
      <c r="X951" s="42">
        <v>553011.19999999995</v>
      </c>
      <c r="Y951" s="34" t="s">
        <v>157</v>
      </c>
      <c r="Z951" s="19" t="s">
        <v>7038</v>
      </c>
      <c r="AA951" s="28"/>
      <c r="AB951" s="56"/>
      <c r="AC951" s="28"/>
      <c r="AD951" s="28"/>
      <c r="AE951" s="54"/>
      <c r="AF951" s="54"/>
      <c r="AG951" s="54"/>
      <c r="AH951" s="53"/>
      <c r="AI951" s="53" t="s">
        <v>1591</v>
      </c>
      <c r="AJ951" s="53" t="s">
        <v>1591</v>
      </c>
    </row>
    <row r="952" spans="1:36" s="3" customFormat="1" ht="36" x14ac:dyDescent="0.25">
      <c r="A952" s="17" t="s">
        <v>1389</v>
      </c>
      <c r="B952" s="18" t="s">
        <v>37</v>
      </c>
      <c r="C952" s="76" t="s">
        <v>5233</v>
      </c>
      <c r="D952" s="43" t="s">
        <v>5234</v>
      </c>
      <c r="E952" s="78" t="s">
        <v>5235</v>
      </c>
      <c r="F952" s="36" t="s">
        <v>2868</v>
      </c>
      <c r="G952" s="80">
        <v>547384.09</v>
      </c>
      <c r="H952" s="80">
        <v>128865.51</v>
      </c>
      <c r="I952" s="36" t="s">
        <v>1134</v>
      </c>
      <c r="J952" s="34" t="s">
        <v>5236</v>
      </c>
      <c r="K952" s="37" t="s">
        <v>1143</v>
      </c>
      <c r="L952" s="38">
        <v>42240</v>
      </c>
      <c r="M952" s="39" t="s">
        <v>4455</v>
      </c>
      <c r="N952" s="42">
        <v>676249.59999999998</v>
      </c>
      <c r="O952" s="85">
        <v>42424</v>
      </c>
      <c r="P952" s="86"/>
      <c r="Q952" s="41"/>
      <c r="R952" s="41">
        <v>676249.59999999998</v>
      </c>
      <c r="S952" s="80"/>
      <c r="T952" s="81" t="s">
        <v>52</v>
      </c>
      <c r="U952" s="80" t="s">
        <v>5237</v>
      </c>
      <c r="V952" s="80"/>
      <c r="W952" s="42"/>
      <c r="X952" s="42">
        <v>111902.22</v>
      </c>
      <c r="Y952" s="34" t="s">
        <v>157</v>
      </c>
      <c r="Z952" s="19" t="s">
        <v>7038</v>
      </c>
      <c r="AA952" s="28"/>
      <c r="AB952" s="56"/>
      <c r="AC952" s="28"/>
      <c r="AD952" s="28"/>
      <c r="AE952" s="54"/>
      <c r="AF952" s="54"/>
      <c r="AG952" s="54"/>
      <c r="AH952" s="53"/>
      <c r="AI952" s="53" t="s">
        <v>1591</v>
      </c>
      <c r="AJ952" s="53" t="s">
        <v>1591</v>
      </c>
    </row>
    <row r="953" spans="1:36" s="3" customFormat="1" ht="36" x14ac:dyDescent="0.25">
      <c r="A953" s="17" t="s">
        <v>1389</v>
      </c>
      <c r="B953" s="18" t="s">
        <v>37</v>
      </c>
      <c r="C953" s="76" t="s">
        <v>55</v>
      </c>
      <c r="D953" s="43" t="s">
        <v>5217</v>
      </c>
      <c r="E953" s="78" t="s">
        <v>5218</v>
      </c>
      <c r="F953" s="36" t="s">
        <v>1435</v>
      </c>
      <c r="G953" s="80">
        <v>643890</v>
      </c>
      <c r="H953" s="80">
        <v>24765</v>
      </c>
      <c r="I953" s="36" t="s">
        <v>5219</v>
      </c>
      <c r="J953" s="34" t="s">
        <v>5220</v>
      </c>
      <c r="K953" s="37" t="s">
        <v>179</v>
      </c>
      <c r="L953" s="38">
        <v>42223</v>
      </c>
      <c r="M953" s="39" t="s">
        <v>162</v>
      </c>
      <c r="N953" s="42">
        <v>607519.17000000004</v>
      </c>
      <c r="O953" s="85">
        <v>42398</v>
      </c>
      <c r="P953" s="86"/>
      <c r="Q953" s="41"/>
      <c r="R953" s="41">
        <v>607519.17000000004</v>
      </c>
      <c r="S953" s="80"/>
      <c r="T953" s="81" t="s">
        <v>52</v>
      </c>
      <c r="U953" s="80"/>
      <c r="V953" s="80"/>
      <c r="W953" s="42"/>
      <c r="X953" s="42">
        <v>17575.28</v>
      </c>
      <c r="Y953" s="34" t="s">
        <v>157</v>
      </c>
      <c r="Z953" s="19" t="s">
        <v>7038</v>
      </c>
      <c r="AA953" s="28"/>
      <c r="AB953" s="56"/>
      <c r="AC953" s="28"/>
      <c r="AD953" s="28"/>
      <c r="AE953" s="54"/>
      <c r="AF953" s="54"/>
      <c r="AG953" s="54"/>
      <c r="AH953" s="53"/>
      <c r="AI953" s="53" t="s">
        <v>1591</v>
      </c>
      <c r="AJ953" s="53" t="s">
        <v>1591</v>
      </c>
    </row>
    <row r="954" spans="1:36" s="3" customFormat="1" ht="48" x14ac:dyDescent="0.25">
      <c r="A954" s="17" t="s">
        <v>1389</v>
      </c>
      <c r="B954" s="18" t="s">
        <v>37</v>
      </c>
      <c r="C954" s="76" t="s">
        <v>5226</v>
      </c>
      <c r="D954" s="43" t="s">
        <v>5227</v>
      </c>
      <c r="E954" s="78" t="s">
        <v>1317</v>
      </c>
      <c r="F954" s="36" t="s">
        <v>5214</v>
      </c>
      <c r="G954" s="80">
        <v>167640.47</v>
      </c>
      <c r="H954" s="80">
        <v>88688.43</v>
      </c>
      <c r="I954" s="36" t="s">
        <v>5228</v>
      </c>
      <c r="J954" s="34" t="s">
        <v>5229</v>
      </c>
      <c r="K954" s="37" t="s">
        <v>199</v>
      </c>
      <c r="L954" s="38">
        <v>42583</v>
      </c>
      <c r="M954" s="39" t="s">
        <v>4455</v>
      </c>
      <c r="N954" s="42">
        <v>256328.9</v>
      </c>
      <c r="O954" s="85">
        <v>42608</v>
      </c>
      <c r="P954" s="86"/>
      <c r="Q954" s="41"/>
      <c r="R954" s="41">
        <v>256328.9</v>
      </c>
      <c r="S954" s="80"/>
      <c r="T954" s="81" t="s">
        <v>52</v>
      </c>
      <c r="U954" s="80"/>
      <c r="V954" s="80"/>
      <c r="W954" s="42"/>
      <c r="X954" s="42"/>
      <c r="Y954" s="34" t="s">
        <v>157</v>
      </c>
      <c r="Z954" s="19" t="s">
        <v>7038</v>
      </c>
      <c r="AA954" s="28"/>
      <c r="AB954" s="56"/>
      <c r="AC954" s="28"/>
      <c r="AD954" s="28"/>
      <c r="AE954" s="54"/>
      <c r="AF954" s="54"/>
      <c r="AG954" s="54"/>
      <c r="AH954" s="53"/>
      <c r="AI954" s="53" t="s">
        <v>1591</v>
      </c>
      <c r="AJ954" s="53" t="s">
        <v>1591</v>
      </c>
    </row>
    <row r="955" spans="1:36" s="3" customFormat="1" ht="36" x14ac:dyDescent="0.25">
      <c r="A955" s="17" t="s">
        <v>1393</v>
      </c>
      <c r="B955" s="18" t="s">
        <v>37</v>
      </c>
      <c r="C955" s="19" t="s">
        <v>1409</v>
      </c>
      <c r="D955" s="45" t="s">
        <v>1410</v>
      </c>
      <c r="E955" s="50" t="s">
        <v>1411</v>
      </c>
      <c r="F955" s="58" t="s">
        <v>43</v>
      </c>
      <c r="G955" s="51">
        <v>1288750.6599999999</v>
      </c>
      <c r="H955" s="51">
        <v>0</v>
      </c>
      <c r="I955" s="50" t="s">
        <v>1398</v>
      </c>
      <c r="J955" s="58" t="s">
        <v>1395</v>
      </c>
      <c r="K955" s="52" t="s">
        <v>507</v>
      </c>
      <c r="L955" s="59">
        <v>42698</v>
      </c>
      <c r="M955" s="60">
        <v>42698</v>
      </c>
      <c r="N955" s="51">
        <v>1178837.08</v>
      </c>
      <c r="O955" s="59" t="s">
        <v>46</v>
      </c>
      <c r="P955" s="59" t="s">
        <v>46</v>
      </c>
      <c r="Q955" s="51"/>
      <c r="R955" s="51">
        <f>N955+Q955</f>
        <v>1178837.08</v>
      </c>
      <c r="S955" s="51"/>
      <c r="T955" s="52" t="s">
        <v>46</v>
      </c>
      <c r="U955" s="51" t="s">
        <v>46</v>
      </c>
      <c r="V955" s="51" t="s">
        <v>46</v>
      </c>
      <c r="W955" s="51"/>
      <c r="X955" s="51"/>
      <c r="Y955" s="19" t="s">
        <v>186</v>
      </c>
      <c r="Z955" s="19"/>
      <c r="AA955" s="28" t="s">
        <v>7162</v>
      </c>
      <c r="AB955" s="56">
        <v>43409</v>
      </c>
      <c r="AC955" s="28" t="s">
        <v>7853</v>
      </c>
      <c r="AD955" s="28" t="s">
        <v>7854</v>
      </c>
      <c r="AE955" s="54" t="s">
        <v>7855</v>
      </c>
      <c r="AF955" s="54"/>
      <c r="AG955" s="54" t="s">
        <v>186</v>
      </c>
      <c r="AH955" s="53" t="s">
        <v>1591</v>
      </c>
      <c r="AI955" s="53" t="s">
        <v>2686</v>
      </c>
      <c r="AJ955" s="53" t="s">
        <v>1591</v>
      </c>
    </row>
    <row r="956" spans="1:36" s="3" customFormat="1" ht="36" x14ac:dyDescent="0.25">
      <c r="A956" s="17" t="s">
        <v>1393</v>
      </c>
      <c r="B956" s="18" t="s">
        <v>37</v>
      </c>
      <c r="C956" s="19" t="s">
        <v>1404</v>
      </c>
      <c r="D956" s="45" t="s">
        <v>1405</v>
      </c>
      <c r="E956" s="50" t="s">
        <v>1406</v>
      </c>
      <c r="F956" s="58" t="s">
        <v>43</v>
      </c>
      <c r="G956" s="51">
        <v>509993.86</v>
      </c>
      <c r="H956" s="51">
        <v>0</v>
      </c>
      <c r="I956" s="50" t="s">
        <v>1407</v>
      </c>
      <c r="J956" s="58" t="s">
        <v>1408</v>
      </c>
      <c r="K956" s="52" t="s">
        <v>581</v>
      </c>
      <c r="L956" s="59">
        <v>41668</v>
      </c>
      <c r="M956" s="60">
        <v>41668</v>
      </c>
      <c r="N956" s="51">
        <v>509218.05</v>
      </c>
      <c r="O956" s="59">
        <v>42761</v>
      </c>
      <c r="P956" s="59">
        <f>M956+823</f>
        <v>42491</v>
      </c>
      <c r="Q956" s="51"/>
      <c r="R956" s="51">
        <f>N956+Q956</f>
        <v>509218.05</v>
      </c>
      <c r="S956" s="51"/>
      <c r="T956" s="52">
        <v>449051</v>
      </c>
      <c r="U956" s="51">
        <v>34498</v>
      </c>
      <c r="V956" s="51">
        <v>34498</v>
      </c>
      <c r="W956" s="51">
        <v>34498</v>
      </c>
      <c r="X956" s="51">
        <v>271585.51</v>
      </c>
      <c r="Y956" s="19" t="s">
        <v>186</v>
      </c>
      <c r="Z956" s="19"/>
      <c r="AA956" s="28" t="s">
        <v>7162</v>
      </c>
      <c r="AB956" s="56">
        <v>43409</v>
      </c>
      <c r="AC956" s="28" t="s">
        <v>7853</v>
      </c>
      <c r="AD956" s="28" t="s">
        <v>7854</v>
      </c>
      <c r="AE956" s="54" t="s">
        <v>7855</v>
      </c>
      <c r="AF956" s="54"/>
      <c r="AG956" s="54" t="s">
        <v>7856</v>
      </c>
      <c r="AH956" s="53" t="s">
        <v>1591</v>
      </c>
      <c r="AI956" s="53" t="s">
        <v>2686</v>
      </c>
      <c r="AJ956" s="53" t="s">
        <v>1591</v>
      </c>
    </row>
    <row r="957" spans="1:36" s="3" customFormat="1" ht="36" x14ac:dyDescent="0.25">
      <c r="A957" s="17" t="s">
        <v>1393</v>
      </c>
      <c r="B957" s="18" t="s">
        <v>37</v>
      </c>
      <c r="C957" s="19" t="s">
        <v>1400</v>
      </c>
      <c r="D957" s="45" t="s">
        <v>1401</v>
      </c>
      <c r="E957" s="50"/>
      <c r="F957" s="58" t="s">
        <v>1402</v>
      </c>
      <c r="G957" s="51">
        <v>400506.6</v>
      </c>
      <c r="H957" s="51"/>
      <c r="I957" s="50" t="s">
        <v>1403</v>
      </c>
      <c r="J957" s="58" t="s">
        <v>1399</v>
      </c>
      <c r="K957" s="52" t="s">
        <v>1247</v>
      </c>
      <c r="L957" s="59">
        <v>41754</v>
      </c>
      <c r="M957" s="60">
        <v>41754</v>
      </c>
      <c r="N957" s="51">
        <v>400506.7</v>
      </c>
      <c r="O957" s="59"/>
      <c r="P957" s="59"/>
      <c r="Q957" s="51"/>
      <c r="R957" s="51">
        <f>N957+Q957</f>
        <v>400506.7</v>
      </c>
      <c r="S957" s="51"/>
      <c r="T957" s="52">
        <v>449051</v>
      </c>
      <c r="U957" s="51">
        <v>333409.52</v>
      </c>
      <c r="V957" s="51">
        <v>333409.52</v>
      </c>
      <c r="W957" s="51">
        <v>26384.02</v>
      </c>
      <c r="X957" s="51">
        <v>333409.52</v>
      </c>
      <c r="Y957" s="19" t="s">
        <v>646</v>
      </c>
      <c r="Z957" s="19"/>
      <c r="AA957" s="28" t="s">
        <v>7162</v>
      </c>
      <c r="AB957" s="56">
        <v>43409</v>
      </c>
      <c r="AC957" s="28" t="s">
        <v>7853</v>
      </c>
      <c r="AD957" s="28" t="s">
        <v>7854</v>
      </c>
      <c r="AE957" s="54" t="s">
        <v>7855</v>
      </c>
      <c r="AF957" s="54"/>
      <c r="AG957" s="54" t="s">
        <v>4802</v>
      </c>
      <c r="AH957" s="53" t="s">
        <v>1591</v>
      </c>
      <c r="AI957" s="53" t="s">
        <v>2686</v>
      </c>
      <c r="AJ957" s="53" t="s">
        <v>1591</v>
      </c>
    </row>
    <row r="958" spans="1:36" s="3" customFormat="1" ht="108" x14ac:dyDescent="0.25">
      <c r="A958" s="17" t="s">
        <v>1413</v>
      </c>
      <c r="B958" s="18" t="s">
        <v>37</v>
      </c>
      <c r="C958" s="76" t="s">
        <v>1328</v>
      </c>
      <c r="D958" s="45" t="s">
        <v>5238</v>
      </c>
      <c r="E958" s="78"/>
      <c r="F958" s="79"/>
      <c r="G958" s="80"/>
      <c r="H958" s="80"/>
      <c r="I958" s="78" t="s">
        <v>516</v>
      </c>
      <c r="J958" s="79" t="s">
        <v>5239</v>
      </c>
      <c r="K958" s="81" t="s">
        <v>5240</v>
      </c>
      <c r="L958" s="82">
        <v>40562</v>
      </c>
      <c r="M958" s="83">
        <v>42520</v>
      </c>
      <c r="N958" s="80">
        <v>17590953.98</v>
      </c>
      <c r="O958" s="82"/>
      <c r="P958" s="84" t="s">
        <v>5241</v>
      </c>
      <c r="Q958" s="80">
        <v>13097808.460000001</v>
      </c>
      <c r="R958" s="80">
        <v>30688762.440000001</v>
      </c>
      <c r="S958" s="80">
        <v>892159.26</v>
      </c>
      <c r="T958" s="81" t="s">
        <v>5242</v>
      </c>
      <c r="U958" s="80"/>
      <c r="V958" s="80"/>
      <c r="W958" s="80"/>
      <c r="X958" s="80">
        <v>12768573.23</v>
      </c>
      <c r="Y958" s="76" t="s">
        <v>5243</v>
      </c>
      <c r="Z958" s="19" t="s">
        <v>7038</v>
      </c>
      <c r="AA958" s="28" t="s">
        <v>8435</v>
      </c>
      <c r="AB958" s="56">
        <v>43399</v>
      </c>
      <c r="AC958" s="28" t="s">
        <v>7857</v>
      </c>
      <c r="AD958" s="28" t="s">
        <v>7858</v>
      </c>
      <c r="AE958" s="54" t="s">
        <v>7859</v>
      </c>
      <c r="AF958" s="54"/>
      <c r="AG958" s="54" t="s">
        <v>7860</v>
      </c>
      <c r="AH958" s="53" t="s">
        <v>1591</v>
      </c>
      <c r="AI958" s="53" t="s">
        <v>2686</v>
      </c>
      <c r="AJ958" s="53" t="s">
        <v>1591</v>
      </c>
    </row>
    <row r="959" spans="1:36" s="3" customFormat="1" ht="132" x14ac:dyDescent="0.25">
      <c r="A959" s="17" t="s">
        <v>1413</v>
      </c>
      <c r="B959" s="18" t="s">
        <v>37</v>
      </c>
      <c r="C959" s="76" t="s">
        <v>5245</v>
      </c>
      <c r="D959" s="45" t="s">
        <v>5246</v>
      </c>
      <c r="E959" s="78"/>
      <c r="F959" s="79"/>
      <c r="G959" s="80"/>
      <c r="H959" s="80"/>
      <c r="I959" s="78" t="s">
        <v>1422</v>
      </c>
      <c r="J959" s="79" t="s">
        <v>5247</v>
      </c>
      <c r="K959" s="81" t="s">
        <v>479</v>
      </c>
      <c r="L959" s="82">
        <v>42488</v>
      </c>
      <c r="M959" s="83">
        <v>42852</v>
      </c>
      <c r="N959" s="80">
        <v>8366431.2199999997</v>
      </c>
      <c r="O959" s="82"/>
      <c r="P959" s="84"/>
      <c r="Q959" s="80">
        <v>0</v>
      </c>
      <c r="R959" s="80">
        <v>8366431.2199999997</v>
      </c>
      <c r="S959" s="80"/>
      <c r="T959" s="81" t="s">
        <v>5248</v>
      </c>
      <c r="U959" s="80"/>
      <c r="V959" s="80"/>
      <c r="W959" s="80"/>
      <c r="X959" s="80">
        <v>2150984.2799999998</v>
      </c>
      <c r="Y959" s="76" t="s">
        <v>5249</v>
      </c>
      <c r="Z959" s="19" t="s">
        <v>7038</v>
      </c>
      <c r="AA959" s="28" t="s">
        <v>8435</v>
      </c>
      <c r="AB959" s="56">
        <v>43399</v>
      </c>
      <c r="AC959" s="28" t="s">
        <v>7857</v>
      </c>
      <c r="AD959" s="28" t="s">
        <v>7858</v>
      </c>
      <c r="AE959" s="54" t="s">
        <v>7861</v>
      </c>
      <c r="AF959" s="54"/>
      <c r="AG959" s="54" t="s">
        <v>7862</v>
      </c>
      <c r="AH959" s="53" t="s">
        <v>1591</v>
      </c>
      <c r="AI959" s="53" t="s">
        <v>2686</v>
      </c>
      <c r="AJ959" s="53" t="s">
        <v>1591</v>
      </c>
    </row>
    <row r="960" spans="1:36" s="3" customFormat="1" ht="132" x14ac:dyDescent="0.25">
      <c r="A960" s="17" t="s">
        <v>1413</v>
      </c>
      <c r="B960" s="18" t="s">
        <v>37</v>
      </c>
      <c r="C960" s="76" t="s">
        <v>5251</v>
      </c>
      <c r="D960" s="45" t="s">
        <v>5252</v>
      </c>
      <c r="E960" s="78"/>
      <c r="F960" s="79"/>
      <c r="G960" s="80"/>
      <c r="H960" s="80"/>
      <c r="I960" s="78" t="s">
        <v>1415</v>
      </c>
      <c r="J960" s="79" t="s">
        <v>1416</v>
      </c>
      <c r="K960" s="81" t="s">
        <v>5210</v>
      </c>
      <c r="L960" s="82">
        <v>41715</v>
      </c>
      <c r="M960" s="83">
        <v>42435</v>
      </c>
      <c r="N960" s="80">
        <v>5876224.9900000002</v>
      </c>
      <c r="O960" s="82"/>
      <c r="P960" s="84"/>
      <c r="Q960" s="80">
        <v>0</v>
      </c>
      <c r="R960" s="80">
        <v>5876224.9900000002</v>
      </c>
      <c r="S960" s="80"/>
      <c r="T960" s="81" t="s">
        <v>81</v>
      </c>
      <c r="U960" s="80"/>
      <c r="V960" s="80"/>
      <c r="W960" s="80"/>
      <c r="X960" s="80">
        <v>1002484.82</v>
      </c>
      <c r="Y960" s="76" t="s">
        <v>5243</v>
      </c>
      <c r="Z960" s="19" t="s">
        <v>7038</v>
      </c>
      <c r="AA960" s="28" t="s">
        <v>8435</v>
      </c>
      <c r="AB960" s="56">
        <v>43399</v>
      </c>
      <c r="AC960" s="28" t="s">
        <v>7857</v>
      </c>
      <c r="AD960" s="28" t="s">
        <v>7858</v>
      </c>
      <c r="AE960" s="54" t="s">
        <v>7861</v>
      </c>
      <c r="AF960" s="54"/>
      <c r="AG960" s="54" t="s">
        <v>7863</v>
      </c>
      <c r="AH960" s="53" t="s">
        <v>1591</v>
      </c>
      <c r="AI960" s="53" t="s">
        <v>2686</v>
      </c>
      <c r="AJ960" s="53" t="s">
        <v>1591</v>
      </c>
    </row>
    <row r="961" spans="1:36" s="3" customFormat="1" ht="108" x14ac:dyDescent="0.25">
      <c r="A961" s="35" t="s">
        <v>2792</v>
      </c>
      <c r="B961" s="18" t="s">
        <v>37</v>
      </c>
      <c r="C961" s="76"/>
      <c r="D961" s="43" t="s">
        <v>5254</v>
      </c>
      <c r="E961" s="78"/>
      <c r="F961" s="36" t="s">
        <v>5255</v>
      </c>
      <c r="G961" s="80"/>
      <c r="H961" s="80"/>
      <c r="I961" s="36" t="s">
        <v>5256</v>
      </c>
      <c r="J961" s="34" t="s">
        <v>5257</v>
      </c>
      <c r="K961" s="37" t="s">
        <v>5258</v>
      </c>
      <c r="L961" s="38"/>
      <c r="M961" s="39"/>
      <c r="N961" s="42">
        <v>3278504.5</v>
      </c>
      <c r="O961" s="85"/>
      <c r="P961" s="86"/>
      <c r="Q961" s="41">
        <v>217910.97</v>
      </c>
      <c r="R961" s="41">
        <v>3496415.47</v>
      </c>
      <c r="S961" s="80"/>
      <c r="T961" s="81"/>
      <c r="U961" s="80"/>
      <c r="V961" s="80"/>
      <c r="W961" s="42"/>
      <c r="X961" s="42">
        <v>507135.22</v>
      </c>
      <c r="Y961" s="34" t="s">
        <v>4321</v>
      </c>
      <c r="Z961" s="19" t="s">
        <v>7038</v>
      </c>
      <c r="AA961" s="28" t="s">
        <v>8435</v>
      </c>
      <c r="AB961" s="56">
        <v>43399</v>
      </c>
      <c r="AC961" s="28" t="s">
        <v>7857</v>
      </c>
      <c r="AD961" s="28" t="s">
        <v>7858</v>
      </c>
      <c r="AE961" s="54" t="s">
        <v>7864</v>
      </c>
      <c r="AF961" s="54"/>
      <c r="AG961" s="54" t="s">
        <v>7865</v>
      </c>
      <c r="AH961" s="53" t="s">
        <v>1591</v>
      </c>
      <c r="AI961" s="53" t="s">
        <v>2686</v>
      </c>
      <c r="AJ961" s="53" t="s">
        <v>1591</v>
      </c>
    </row>
    <row r="962" spans="1:36" s="3" customFormat="1" ht="132" x14ac:dyDescent="0.25">
      <c r="A962" s="17" t="s">
        <v>1413</v>
      </c>
      <c r="B962" s="18" t="s">
        <v>37</v>
      </c>
      <c r="C962" s="76" t="s">
        <v>5259</v>
      </c>
      <c r="D962" s="45" t="s">
        <v>5260</v>
      </c>
      <c r="E962" s="78"/>
      <c r="F962" s="79"/>
      <c r="G962" s="80"/>
      <c r="H962" s="80"/>
      <c r="I962" s="78" t="s">
        <v>217</v>
      </c>
      <c r="J962" s="79" t="s">
        <v>5261</v>
      </c>
      <c r="K962" s="81" t="s">
        <v>433</v>
      </c>
      <c r="L962" s="82">
        <v>42109</v>
      </c>
      <c r="M962" s="83">
        <v>42663</v>
      </c>
      <c r="N962" s="80">
        <v>3334854.16</v>
      </c>
      <c r="O962" s="82"/>
      <c r="P962" s="84"/>
      <c r="Q962" s="80">
        <v>0</v>
      </c>
      <c r="R962" s="80">
        <v>3334854.16</v>
      </c>
      <c r="S962" s="80"/>
      <c r="T962" s="81" t="s">
        <v>52</v>
      </c>
      <c r="U962" s="80"/>
      <c r="V962" s="80"/>
      <c r="W962" s="80"/>
      <c r="X962" s="80">
        <v>118313.82</v>
      </c>
      <c r="Y962" s="76" t="s">
        <v>5243</v>
      </c>
      <c r="Z962" s="19" t="s">
        <v>7038</v>
      </c>
      <c r="AA962" s="28" t="s">
        <v>8435</v>
      </c>
      <c r="AB962" s="56">
        <v>43399</v>
      </c>
      <c r="AC962" s="28" t="s">
        <v>7857</v>
      </c>
      <c r="AD962" s="28" t="s">
        <v>7858</v>
      </c>
      <c r="AE962" s="54" t="s">
        <v>7861</v>
      </c>
      <c r="AF962" s="54"/>
      <c r="AG962" s="54" t="s">
        <v>7866</v>
      </c>
      <c r="AH962" s="53" t="s">
        <v>1591</v>
      </c>
      <c r="AI962" s="53" t="s">
        <v>2686</v>
      </c>
      <c r="AJ962" s="53" t="s">
        <v>1591</v>
      </c>
    </row>
    <row r="963" spans="1:36" s="3" customFormat="1" ht="108" x14ac:dyDescent="0.25">
      <c r="A963" s="35" t="s">
        <v>2792</v>
      </c>
      <c r="B963" s="18" t="s">
        <v>37</v>
      </c>
      <c r="C963" s="76"/>
      <c r="D963" s="43" t="s">
        <v>5262</v>
      </c>
      <c r="E963" s="78"/>
      <c r="F963" s="36"/>
      <c r="G963" s="80"/>
      <c r="H963" s="80"/>
      <c r="I963" s="36" t="s">
        <v>2443</v>
      </c>
      <c r="J963" s="34" t="s">
        <v>5263</v>
      </c>
      <c r="K963" s="37" t="s">
        <v>5264</v>
      </c>
      <c r="L963" s="38">
        <v>41089</v>
      </c>
      <c r="M963" s="39">
        <v>41448</v>
      </c>
      <c r="N963" s="42">
        <v>3117800</v>
      </c>
      <c r="O963" s="85"/>
      <c r="P963" s="86"/>
      <c r="Q963" s="41"/>
      <c r="R963" s="41">
        <v>3117800</v>
      </c>
      <c r="S963" s="80"/>
      <c r="T963" s="81"/>
      <c r="U963" s="80"/>
      <c r="V963" s="80"/>
      <c r="W963" s="42"/>
      <c r="X963" s="42">
        <v>159837.87</v>
      </c>
      <c r="Y963" s="34" t="s">
        <v>4321</v>
      </c>
      <c r="Z963" s="19" t="s">
        <v>7038</v>
      </c>
      <c r="AA963" s="28" t="s">
        <v>8435</v>
      </c>
      <c r="AB963" s="56">
        <v>43399</v>
      </c>
      <c r="AC963" s="28" t="s">
        <v>7857</v>
      </c>
      <c r="AD963" s="28" t="s">
        <v>7858</v>
      </c>
      <c r="AE963" s="54" t="s">
        <v>7864</v>
      </c>
      <c r="AF963" s="54"/>
      <c r="AG963" s="54" t="s">
        <v>7865</v>
      </c>
      <c r="AH963" s="53" t="s">
        <v>1591</v>
      </c>
      <c r="AI963" s="53" t="s">
        <v>2686</v>
      </c>
      <c r="AJ963" s="53" t="s">
        <v>1591</v>
      </c>
    </row>
    <row r="964" spans="1:36" s="3" customFormat="1" ht="108" x14ac:dyDescent="0.25">
      <c r="A964" s="35" t="s">
        <v>2792</v>
      </c>
      <c r="B964" s="18" t="s">
        <v>37</v>
      </c>
      <c r="C964" s="76"/>
      <c r="D964" s="43" t="s">
        <v>5265</v>
      </c>
      <c r="E964" s="78"/>
      <c r="F964" s="36" t="s">
        <v>5255</v>
      </c>
      <c r="G964" s="80"/>
      <c r="H964" s="80"/>
      <c r="I964" s="36" t="s">
        <v>5256</v>
      </c>
      <c r="J964" s="34" t="s">
        <v>5257</v>
      </c>
      <c r="K964" s="37" t="s">
        <v>5266</v>
      </c>
      <c r="L964" s="38"/>
      <c r="M964" s="39"/>
      <c r="N964" s="42">
        <v>2246440.56</v>
      </c>
      <c r="O964" s="85"/>
      <c r="P964" s="86"/>
      <c r="Q964" s="41">
        <v>527569.74</v>
      </c>
      <c r="R964" s="41">
        <v>2774010.3</v>
      </c>
      <c r="S964" s="80"/>
      <c r="T964" s="81"/>
      <c r="U964" s="80"/>
      <c r="V964" s="80"/>
      <c r="W964" s="42"/>
      <c r="X964" s="42">
        <v>362217.2</v>
      </c>
      <c r="Y964" s="34" t="s">
        <v>4321</v>
      </c>
      <c r="Z964" s="19" t="s">
        <v>7038</v>
      </c>
      <c r="AA964" s="28" t="s">
        <v>8435</v>
      </c>
      <c r="AB964" s="56">
        <v>43399</v>
      </c>
      <c r="AC964" s="28" t="s">
        <v>7857</v>
      </c>
      <c r="AD964" s="28" t="s">
        <v>7858</v>
      </c>
      <c r="AE964" s="54" t="s">
        <v>7864</v>
      </c>
      <c r="AF964" s="54"/>
      <c r="AG964" s="54" t="s">
        <v>7865</v>
      </c>
      <c r="AH964" s="53" t="s">
        <v>1591</v>
      </c>
      <c r="AI964" s="53" t="s">
        <v>2686</v>
      </c>
      <c r="AJ964" s="53" t="s">
        <v>1591</v>
      </c>
    </row>
    <row r="965" spans="1:36" s="3" customFormat="1" ht="108" x14ac:dyDescent="0.25">
      <c r="A965" s="35" t="s">
        <v>2792</v>
      </c>
      <c r="B965" s="18" t="s">
        <v>37</v>
      </c>
      <c r="C965" s="76"/>
      <c r="D965" s="43" t="s">
        <v>5267</v>
      </c>
      <c r="E965" s="78"/>
      <c r="F965" s="36"/>
      <c r="G965" s="80"/>
      <c r="H965" s="80"/>
      <c r="I965" s="36" t="s">
        <v>2443</v>
      </c>
      <c r="J965" s="34" t="s">
        <v>5263</v>
      </c>
      <c r="K965" s="37" t="s">
        <v>5264</v>
      </c>
      <c r="L965" s="38">
        <v>41089</v>
      </c>
      <c r="M965" s="39">
        <v>41448</v>
      </c>
      <c r="N965" s="42">
        <v>2643192.81</v>
      </c>
      <c r="O965" s="85"/>
      <c r="P965" s="86"/>
      <c r="Q965" s="41"/>
      <c r="R965" s="41">
        <v>2643192.81</v>
      </c>
      <c r="S965" s="80"/>
      <c r="T965" s="81"/>
      <c r="U965" s="80"/>
      <c r="V965" s="80"/>
      <c r="W965" s="42"/>
      <c r="X965" s="42">
        <v>465109.3</v>
      </c>
      <c r="Y965" s="34" t="s">
        <v>4321</v>
      </c>
      <c r="Z965" s="19" t="s">
        <v>7038</v>
      </c>
      <c r="AA965" s="28" t="s">
        <v>8435</v>
      </c>
      <c r="AB965" s="56">
        <v>43399</v>
      </c>
      <c r="AC965" s="28" t="s">
        <v>7857</v>
      </c>
      <c r="AD965" s="28" t="s">
        <v>7858</v>
      </c>
      <c r="AE965" s="54" t="s">
        <v>7864</v>
      </c>
      <c r="AF965" s="54"/>
      <c r="AG965" s="54" t="s">
        <v>7865</v>
      </c>
      <c r="AH965" s="53" t="s">
        <v>1591</v>
      </c>
      <c r="AI965" s="53" t="s">
        <v>2686</v>
      </c>
      <c r="AJ965" s="53" t="s">
        <v>1591</v>
      </c>
    </row>
    <row r="966" spans="1:36" s="3" customFormat="1" ht="60" x14ac:dyDescent="0.25">
      <c r="A966" s="35" t="s">
        <v>2792</v>
      </c>
      <c r="B966" s="18" t="s">
        <v>37</v>
      </c>
      <c r="C966" s="76"/>
      <c r="D966" s="43" t="s">
        <v>5268</v>
      </c>
      <c r="E966" s="78"/>
      <c r="F966" s="36"/>
      <c r="G966" s="80"/>
      <c r="H966" s="80"/>
      <c r="I966" s="36" t="s">
        <v>5269</v>
      </c>
      <c r="J966" s="34" t="s">
        <v>5270</v>
      </c>
      <c r="K966" s="37" t="s">
        <v>1208</v>
      </c>
      <c r="L966" s="38">
        <v>42076</v>
      </c>
      <c r="M966" s="39">
        <v>42350</v>
      </c>
      <c r="N966" s="42">
        <v>1957097.94</v>
      </c>
      <c r="O966" s="85"/>
      <c r="P966" s="86">
        <v>42350</v>
      </c>
      <c r="Q966" s="41">
        <v>460347.2200000002</v>
      </c>
      <c r="R966" s="41">
        <v>2417445.16</v>
      </c>
      <c r="S966" s="80"/>
      <c r="T966" s="81"/>
      <c r="U966" s="80"/>
      <c r="V966" s="80"/>
      <c r="W966" s="42"/>
      <c r="X966" s="42">
        <v>1985903.95</v>
      </c>
      <c r="Y966" s="34" t="s">
        <v>4321</v>
      </c>
      <c r="Z966" s="19" t="s">
        <v>7038</v>
      </c>
      <c r="AA966" s="28" t="s">
        <v>8435</v>
      </c>
      <c r="AB966" s="56">
        <v>43399</v>
      </c>
      <c r="AC966" s="28" t="s">
        <v>7857</v>
      </c>
      <c r="AD966" s="28" t="s">
        <v>7858</v>
      </c>
      <c r="AE966" s="54" t="s">
        <v>7867</v>
      </c>
      <c r="AF966" s="54"/>
      <c r="AG966" s="54"/>
      <c r="AH966" s="53" t="s">
        <v>1591</v>
      </c>
      <c r="AI966" s="53" t="s">
        <v>2686</v>
      </c>
      <c r="AJ966" s="53" t="s">
        <v>1591</v>
      </c>
    </row>
    <row r="967" spans="1:36" s="3" customFormat="1" ht="48" x14ac:dyDescent="0.25">
      <c r="A967" s="35" t="s">
        <v>2792</v>
      </c>
      <c r="B967" s="18" t="s">
        <v>37</v>
      </c>
      <c r="C967" s="76"/>
      <c r="D967" s="43" t="s">
        <v>5271</v>
      </c>
      <c r="E967" s="78"/>
      <c r="F967" s="36"/>
      <c r="G967" s="80"/>
      <c r="H967" s="80"/>
      <c r="I967" s="36" t="s">
        <v>2586</v>
      </c>
      <c r="J967" s="34" t="s">
        <v>5272</v>
      </c>
      <c r="K967" s="37" t="s">
        <v>5273</v>
      </c>
      <c r="L967" s="38">
        <v>41543</v>
      </c>
      <c r="M967" s="39">
        <v>41857</v>
      </c>
      <c r="N967" s="42">
        <v>1921653</v>
      </c>
      <c r="O967" s="85"/>
      <c r="P967" s="86">
        <v>42009</v>
      </c>
      <c r="Q967" s="41">
        <v>477209.29999999981</v>
      </c>
      <c r="R967" s="41">
        <v>2398862.2999999998</v>
      </c>
      <c r="S967" s="80"/>
      <c r="T967" s="81"/>
      <c r="U967" s="80"/>
      <c r="V967" s="80"/>
      <c r="W967" s="42"/>
      <c r="X967" s="42">
        <v>2398765.0299999998</v>
      </c>
      <c r="Y967" s="34" t="s">
        <v>4321</v>
      </c>
      <c r="Z967" s="19" t="s">
        <v>7038</v>
      </c>
      <c r="AA967" s="28" t="s">
        <v>8435</v>
      </c>
      <c r="AB967" s="56">
        <v>43399</v>
      </c>
      <c r="AC967" s="28" t="s">
        <v>7857</v>
      </c>
      <c r="AD967" s="28" t="s">
        <v>7858</v>
      </c>
      <c r="AE967" s="54" t="s">
        <v>7867</v>
      </c>
      <c r="AF967" s="54"/>
      <c r="AG967" s="54"/>
      <c r="AH967" s="53" t="s">
        <v>1591</v>
      </c>
      <c r="AI967" s="53" t="s">
        <v>2686</v>
      </c>
      <c r="AJ967" s="53" t="s">
        <v>1591</v>
      </c>
    </row>
    <row r="968" spans="1:36" s="3" customFormat="1" ht="36" x14ac:dyDescent="0.25">
      <c r="A968" s="35" t="s">
        <v>2792</v>
      </c>
      <c r="B968" s="18" t="s">
        <v>37</v>
      </c>
      <c r="C968" s="76"/>
      <c r="D968" s="43" t="s">
        <v>5274</v>
      </c>
      <c r="E968" s="78"/>
      <c r="F968" s="36"/>
      <c r="G968" s="80"/>
      <c r="H968" s="80"/>
      <c r="I968" s="36" t="s">
        <v>335</v>
      </c>
      <c r="J968" s="34" t="s">
        <v>5244</v>
      </c>
      <c r="K968" s="37" t="s">
        <v>5275</v>
      </c>
      <c r="L968" s="38">
        <v>41864</v>
      </c>
      <c r="M968" s="39">
        <v>42228</v>
      </c>
      <c r="N968" s="42">
        <v>1847113.74</v>
      </c>
      <c r="O968" s="85"/>
      <c r="P968" s="86">
        <v>42320</v>
      </c>
      <c r="Q968" s="41">
        <v>228009.6399999999</v>
      </c>
      <c r="R968" s="41">
        <v>2075123.38</v>
      </c>
      <c r="S968" s="80"/>
      <c r="T968" s="81"/>
      <c r="U968" s="80"/>
      <c r="V968" s="80"/>
      <c r="W968" s="42"/>
      <c r="X968" s="42">
        <v>1537530.53</v>
      </c>
      <c r="Y968" s="34" t="s">
        <v>4321</v>
      </c>
      <c r="Z968" s="19" t="s">
        <v>7038</v>
      </c>
      <c r="AA968" s="28" t="s">
        <v>8435</v>
      </c>
      <c r="AB968" s="56">
        <v>43399</v>
      </c>
      <c r="AC968" s="28" t="s">
        <v>7857</v>
      </c>
      <c r="AD968" s="28" t="s">
        <v>7858</v>
      </c>
      <c r="AE968" s="54" t="s">
        <v>7867</v>
      </c>
      <c r="AF968" s="54"/>
      <c r="AG968" s="54"/>
      <c r="AH968" s="53" t="s">
        <v>1591</v>
      </c>
      <c r="AI968" s="53" t="s">
        <v>2686</v>
      </c>
      <c r="AJ968" s="53" t="s">
        <v>1591</v>
      </c>
    </row>
    <row r="969" spans="1:36" s="3" customFormat="1" ht="36" x14ac:dyDescent="0.25">
      <c r="A969" s="35" t="s">
        <v>2792</v>
      </c>
      <c r="B969" s="18" t="s">
        <v>37</v>
      </c>
      <c r="C969" s="76"/>
      <c r="D969" s="43" t="s">
        <v>5276</v>
      </c>
      <c r="E969" s="78"/>
      <c r="F969" s="36"/>
      <c r="G969" s="80"/>
      <c r="H969" s="80"/>
      <c r="I969" s="36" t="s">
        <v>5277</v>
      </c>
      <c r="J969" s="34" t="s">
        <v>5278</v>
      </c>
      <c r="K969" s="37" t="s">
        <v>5279</v>
      </c>
      <c r="L969" s="38">
        <v>41529</v>
      </c>
      <c r="M969" s="39">
        <v>41844</v>
      </c>
      <c r="N969" s="42">
        <v>1812809.64</v>
      </c>
      <c r="O969" s="85"/>
      <c r="P969" s="86">
        <v>42085</v>
      </c>
      <c r="Q969" s="41">
        <v>222218.44000000018</v>
      </c>
      <c r="R969" s="41">
        <v>2035028.08</v>
      </c>
      <c r="S969" s="80"/>
      <c r="T969" s="81"/>
      <c r="U969" s="80"/>
      <c r="V969" s="80"/>
      <c r="W969" s="42"/>
      <c r="X969" s="42">
        <v>975195.22</v>
      </c>
      <c r="Y969" s="34" t="s">
        <v>4321</v>
      </c>
      <c r="Z969" s="19" t="s">
        <v>7038</v>
      </c>
      <c r="AA969" s="28" t="s">
        <v>8435</v>
      </c>
      <c r="AB969" s="56">
        <v>43399</v>
      </c>
      <c r="AC969" s="28" t="s">
        <v>7857</v>
      </c>
      <c r="AD969" s="28" t="s">
        <v>7858</v>
      </c>
      <c r="AE969" s="54" t="s">
        <v>7867</v>
      </c>
      <c r="AF969" s="54"/>
      <c r="AG969" s="54"/>
      <c r="AH969" s="53" t="s">
        <v>1591</v>
      </c>
      <c r="AI969" s="53" t="s">
        <v>2686</v>
      </c>
      <c r="AJ969" s="53" t="s">
        <v>1591</v>
      </c>
    </row>
    <row r="970" spans="1:36" s="3" customFormat="1" ht="60" x14ac:dyDescent="0.25">
      <c r="A970" s="35" t="s">
        <v>2792</v>
      </c>
      <c r="B970" s="18" t="s">
        <v>37</v>
      </c>
      <c r="C970" s="76"/>
      <c r="D970" s="43" t="s">
        <v>5280</v>
      </c>
      <c r="E970" s="78"/>
      <c r="F970" s="36" t="s">
        <v>5255</v>
      </c>
      <c r="G970" s="80"/>
      <c r="H970" s="80"/>
      <c r="I970" s="36" t="s">
        <v>5281</v>
      </c>
      <c r="J970" s="34" t="s">
        <v>5282</v>
      </c>
      <c r="K970" s="37" t="s">
        <v>5283</v>
      </c>
      <c r="L970" s="38"/>
      <c r="M970" s="39"/>
      <c r="N970" s="42">
        <v>1659949.87</v>
      </c>
      <c r="O970" s="85"/>
      <c r="P970" s="86"/>
      <c r="Q970" s="41">
        <v>36624.720000000001</v>
      </c>
      <c r="R970" s="41">
        <v>1696574.59</v>
      </c>
      <c r="S970" s="80"/>
      <c r="T970" s="81"/>
      <c r="U970" s="80"/>
      <c r="V970" s="80"/>
      <c r="W970" s="42"/>
      <c r="X970" s="42">
        <v>1047175.79</v>
      </c>
      <c r="Y970" s="34" t="s">
        <v>4321</v>
      </c>
      <c r="Z970" s="19" t="s">
        <v>7038</v>
      </c>
      <c r="AA970" s="28" t="s">
        <v>8435</v>
      </c>
      <c r="AB970" s="56">
        <v>43399</v>
      </c>
      <c r="AC970" s="28" t="s">
        <v>7857</v>
      </c>
      <c r="AD970" s="28" t="s">
        <v>7858</v>
      </c>
      <c r="AE970" s="54" t="s">
        <v>7864</v>
      </c>
      <c r="AF970" s="54"/>
      <c r="AG970" s="54" t="s">
        <v>7868</v>
      </c>
      <c r="AH970" s="53" t="s">
        <v>1591</v>
      </c>
      <c r="AI970" s="53" t="s">
        <v>2686</v>
      </c>
      <c r="AJ970" s="53" t="s">
        <v>1591</v>
      </c>
    </row>
    <row r="971" spans="1:36" s="3" customFormat="1" ht="36" x14ac:dyDescent="0.25">
      <c r="A971" s="35" t="s">
        <v>2792</v>
      </c>
      <c r="B971" s="18" t="s">
        <v>37</v>
      </c>
      <c r="C971" s="76"/>
      <c r="D971" s="43" t="s">
        <v>5284</v>
      </c>
      <c r="E971" s="78"/>
      <c r="F971" s="36"/>
      <c r="G971" s="80"/>
      <c r="H971" s="80"/>
      <c r="I971" s="36" t="s">
        <v>868</v>
      </c>
      <c r="J971" s="34" t="s">
        <v>5250</v>
      </c>
      <c r="K971" s="37" t="s">
        <v>1001</v>
      </c>
      <c r="L971" s="38">
        <v>41781</v>
      </c>
      <c r="M971" s="39">
        <v>41994</v>
      </c>
      <c r="N971" s="42">
        <v>1339404.78</v>
      </c>
      <c r="O971" s="85"/>
      <c r="P971" s="86">
        <v>42054</v>
      </c>
      <c r="Q971" s="41">
        <v>268618.79000000004</v>
      </c>
      <c r="R971" s="41">
        <v>1608023.57</v>
      </c>
      <c r="S971" s="80"/>
      <c r="T971" s="81"/>
      <c r="U971" s="80"/>
      <c r="V971" s="80"/>
      <c r="W971" s="42"/>
      <c r="X971" s="42">
        <v>1600461.48</v>
      </c>
      <c r="Y971" s="34" t="s">
        <v>4321</v>
      </c>
      <c r="Z971" s="19" t="s">
        <v>7038</v>
      </c>
      <c r="AA971" s="28" t="s">
        <v>8435</v>
      </c>
      <c r="AB971" s="56">
        <v>43399</v>
      </c>
      <c r="AC971" s="28" t="s">
        <v>7857</v>
      </c>
      <c r="AD971" s="28" t="s">
        <v>7858</v>
      </c>
      <c r="AE971" s="54" t="s">
        <v>7867</v>
      </c>
      <c r="AF971" s="54"/>
      <c r="AG971" s="54"/>
      <c r="AH971" s="53" t="s">
        <v>1591</v>
      </c>
      <c r="AI971" s="53" t="s">
        <v>2686</v>
      </c>
      <c r="AJ971" s="53" t="s">
        <v>1591</v>
      </c>
    </row>
    <row r="972" spans="1:36" s="3" customFormat="1" ht="36" x14ac:dyDescent="0.25">
      <c r="A972" s="35" t="s">
        <v>2792</v>
      </c>
      <c r="B972" s="18" t="s">
        <v>37</v>
      </c>
      <c r="C972" s="76"/>
      <c r="D972" s="43" t="s">
        <v>5285</v>
      </c>
      <c r="E972" s="78"/>
      <c r="F972" s="36"/>
      <c r="G972" s="80"/>
      <c r="H972" s="80"/>
      <c r="I972" s="36" t="s">
        <v>526</v>
      </c>
      <c r="J972" s="34" t="s">
        <v>5253</v>
      </c>
      <c r="K972" s="37" t="s">
        <v>5286</v>
      </c>
      <c r="L972" s="38">
        <v>41929</v>
      </c>
      <c r="M972" s="39">
        <v>42193</v>
      </c>
      <c r="N972" s="42">
        <v>689864.28</v>
      </c>
      <c r="O972" s="85"/>
      <c r="P972" s="86">
        <v>42253</v>
      </c>
      <c r="Q972" s="41">
        <v>83273.429999999935</v>
      </c>
      <c r="R972" s="41">
        <v>773137.71</v>
      </c>
      <c r="S972" s="80"/>
      <c r="T972" s="81"/>
      <c r="U972" s="80"/>
      <c r="V972" s="80"/>
      <c r="W972" s="42"/>
      <c r="X972" s="42">
        <v>767228.63</v>
      </c>
      <c r="Y972" s="34" t="s">
        <v>4321</v>
      </c>
      <c r="Z972" s="19" t="s">
        <v>7038</v>
      </c>
      <c r="AA972" s="28" t="s">
        <v>8435</v>
      </c>
      <c r="AB972" s="56">
        <v>43399</v>
      </c>
      <c r="AC972" s="28" t="s">
        <v>7857</v>
      </c>
      <c r="AD972" s="28" t="s">
        <v>7858</v>
      </c>
      <c r="AE972" s="54" t="s">
        <v>7867</v>
      </c>
      <c r="AF972" s="54"/>
      <c r="AG972" s="54"/>
      <c r="AH972" s="53" t="s">
        <v>1591</v>
      </c>
      <c r="AI972" s="53" t="s">
        <v>2686</v>
      </c>
      <c r="AJ972" s="53" t="s">
        <v>1591</v>
      </c>
    </row>
    <row r="973" spans="1:36" s="3" customFormat="1" ht="36" x14ac:dyDescent="0.25">
      <c r="A973" s="35" t="s">
        <v>2792</v>
      </c>
      <c r="B973" s="18" t="s">
        <v>37</v>
      </c>
      <c r="C973" s="76"/>
      <c r="D973" s="43" t="s">
        <v>5287</v>
      </c>
      <c r="E973" s="78"/>
      <c r="F973" s="36"/>
      <c r="G973" s="80"/>
      <c r="H973" s="80"/>
      <c r="I973" s="36" t="s">
        <v>5269</v>
      </c>
      <c r="J973" s="34" t="s">
        <v>5270</v>
      </c>
      <c r="K973" s="37" t="s">
        <v>2069</v>
      </c>
      <c r="L973" s="38">
        <v>41794</v>
      </c>
      <c r="M973" s="39">
        <v>41942</v>
      </c>
      <c r="N973" s="42">
        <v>634347.93000000005</v>
      </c>
      <c r="O973" s="85"/>
      <c r="P973" s="86">
        <v>42078</v>
      </c>
      <c r="Q973" s="41">
        <v>77611.439999999944</v>
      </c>
      <c r="R973" s="41">
        <v>711959.37</v>
      </c>
      <c r="S973" s="80"/>
      <c r="T973" s="81"/>
      <c r="U973" s="80"/>
      <c r="V973" s="80"/>
      <c r="W973" s="42"/>
      <c r="X973" s="42">
        <v>692750.37</v>
      </c>
      <c r="Y973" s="34" t="s">
        <v>4321</v>
      </c>
      <c r="Z973" s="19" t="s">
        <v>7038</v>
      </c>
      <c r="AA973" s="28" t="s">
        <v>8435</v>
      </c>
      <c r="AB973" s="56">
        <v>43399</v>
      </c>
      <c r="AC973" s="28" t="s">
        <v>7857</v>
      </c>
      <c r="AD973" s="28" t="s">
        <v>7858</v>
      </c>
      <c r="AE973" s="54" t="s">
        <v>7867</v>
      </c>
      <c r="AF973" s="54"/>
      <c r="AG973" s="54"/>
      <c r="AH973" s="53" t="s">
        <v>1591</v>
      </c>
      <c r="AI973" s="53" t="s">
        <v>2686</v>
      </c>
      <c r="AJ973" s="53" t="s">
        <v>1591</v>
      </c>
    </row>
    <row r="974" spans="1:36" s="3" customFormat="1" ht="36" x14ac:dyDescent="0.25">
      <c r="A974" s="35" t="s">
        <v>2792</v>
      </c>
      <c r="B974" s="18" t="s">
        <v>37</v>
      </c>
      <c r="C974" s="76"/>
      <c r="D974" s="43" t="s">
        <v>5288</v>
      </c>
      <c r="E974" s="78"/>
      <c r="F974" s="36"/>
      <c r="G974" s="80"/>
      <c r="H974" s="80"/>
      <c r="I974" s="36" t="s">
        <v>1414</v>
      </c>
      <c r="J974" s="34" t="s">
        <v>5289</v>
      </c>
      <c r="K974" s="37" t="s">
        <v>4531</v>
      </c>
      <c r="L974" s="38">
        <v>41663</v>
      </c>
      <c r="M974" s="39">
        <v>41812</v>
      </c>
      <c r="N974" s="42">
        <v>412774.11</v>
      </c>
      <c r="O974" s="85"/>
      <c r="P974" s="86">
        <v>42117</v>
      </c>
      <c r="Q974" s="41">
        <v>200745.55000000005</v>
      </c>
      <c r="R974" s="41">
        <v>613519.66</v>
      </c>
      <c r="S974" s="80"/>
      <c r="T974" s="81"/>
      <c r="U974" s="80"/>
      <c r="V974" s="80"/>
      <c r="W974" s="42"/>
      <c r="X974" s="42">
        <v>609969.30000000005</v>
      </c>
      <c r="Y974" s="34" t="s">
        <v>4321</v>
      </c>
      <c r="Z974" s="19" t="s">
        <v>7038</v>
      </c>
      <c r="AA974" s="28" t="s">
        <v>8435</v>
      </c>
      <c r="AB974" s="56">
        <v>43399</v>
      </c>
      <c r="AC974" s="28" t="s">
        <v>7857</v>
      </c>
      <c r="AD974" s="28" t="s">
        <v>7858</v>
      </c>
      <c r="AE974" s="54" t="s">
        <v>7867</v>
      </c>
      <c r="AF974" s="54"/>
      <c r="AG974" s="54"/>
      <c r="AH974" s="53" t="s">
        <v>1591</v>
      </c>
      <c r="AI974" s="53" t="s">
        <v>2686</v>
      </c>
      <c r="AJ974" s="53" t="s">
        <v>1591</v>
      </c>
    </row>
    <row r="975" spans="1:36" s="3" customFormat="1" ht="36" x14ac:dyDescent="0.25">
      <c r="A975" s="35" t="s">
        <v>2792</v>
      </c>
      <c r="B975" s="18" t="s">
        <v>37</v>
      </c>
      <c r="C975" s="76"/>
      <c r="D975" s="43" t="s">
        <v>5291</v>
      </c>
      <c r="E975" s="78"/>
      <c r="F975" s="36"/>
      <c r="G975" s="80"/>
      <c r="H975" s="80"/>
      <c r="I975" s="36" t="s">
        <v>5269</v>
      </c>
      <c r="J975" s="34" t="s">
        <v>5270</v>
      </c>
      <c r="K975" s="37" t="s">
        <v>2440</v>
      </c>
      <c r="L975" s="38">
        <v>41794</v>
      </c>
      <c r="M975" s="39">
        <v>42048</v>
      </c>
      <c r="N975" s="42">
        <v>353076.49</v>
      </c>
      <c r="O975" s="85"/>
      <c r="P975" s="86">
        <v>42078</v>
      </c>
      <c r="Q975" s="41">
        <v>59120.960000000021</v>
      </c>
      <c r="R975" s="41">
        <v>412197.45</v>
      </c>
      <c r="S975" s="80"/>
      <c r="T975" s="81"/>
      <c r="U975" s="80"/>
      <c r="V975" s="80"/>
      <c r="W975" s="42"/>
      <c r="X975" s="42">
        <v>403184.83</v>
      </c>
      <c r="Y975" s="34" t="s">
        <v>4321</v>
      </c>
      <c r="Z975" s="19" t="s">
        <v>7038</v>
      </c>
      <c r="AA975" s="28" t="s">
        <v>8435</v>
      </c>
      <c r="AB975" s="56">
        <v>43399</v>
      </c>
      <c r="AC975" s="28" t="s">
        <v>7857</v>
      </c>
      <c r="AD975" s="28" t="s">
        <v>7858</v>
      </c>
      <c r="AE975" s="54" t="s">
        <v>7867</v>
      </c>
      <c r="AF975" s="54"/>
      <c r="AG975" s="54"/>
      <c r="AH975" s="53" t="s">
        <v>1591</v>
      </c>
      <c r="AI975" s="53" t="s">
        <v>2686</v>
      </c>
      <c r="AJ975" s="53" t="s">
        <v>1591</v>
      </c>
    </row>
    <row r="976" spans="1:36" s="3" customFormat="1" ht="60" x14ac:dyDescent="0.25">
      <c r="A976" s="35" t="s">
        <v>2792</v>
      </c>
      <c r="B976" s="18" t="s">
        <v>37</v>
      </c>
      <c r="C976" s="76"/>
      <c r="D976" s="43" t="s">
        <v>5292</v>
      </c>
      <c r="E976" s="78"/>
      <c r="F976" s="36"/>
      <c r="G976" s="80"/>
      <c r="H976" s="80"/>
      <c r="I976" s="36" t="s">
        <v>2708</v>
      </c>
      <c r="J976" s="34" t="s">
        <v>5293</v>
      </c>
      <c r="K976" s="37" t="s">
        <v>1996</v>
      </c>
      <c r="L976" s="38">
        <v>41794</v>
      </c>
      <c r="M976" s="39">
        <v>42123</v>
      </c>
      <c r="N976" s="42">
        <v>357203.28</v>
      </c>
      <c r="O976" s="85"/>
      <c r="P976" s="86">
        <v>42273</v>
      </c>
      <c r="Q976" s="41"/>
      <c r="R976" s="41">
        <v>357203.28</v>
      </c>
      <c r="S976" s="80"/>
      <c r="T976" s="81"/>
      <c r="U976" s="80"/>
      <c r="V976" s="80"/>
      <c r="W976" s="42"/>
      <c r="X976" s="42">
        <v>284866.31</v>
      </c>
      <c r="Y976" s="34" t="s">
        <v>4321</v>
      </c>
      <c r="Z976" s="19" t="s">
        <v>7038</v>
      </c>
      <c r="AA976" s="28" t="s">
        <v>8435</v>
      </c>
      <c r="AB976" s="56">
        <v>43399</v>
      </c>
      <c r="AC976" s="28" t="s">
        <v>7857</v>
      </c>
      <c r="AD976" s="28" t="s">
        <v>7858</v>
      </c>
      <c r="AE976" s="54" t="s">
        <v>7864</v>
      </c>
      <c r="AF976" s="54"/>
      <c r="AG976" s="54" t="s">
        <v>7869</v>
      </c>
      <c r="AH976" s="53" t="s">
        <v>1591</v>
      </c>
      <c r="AI976" s="53" t="s">
        <v>2686</v>
      </c>
      <c r="AJ976" s="53" t="s">
        <v>1591</v>
      </c>
    </row>
    <row r="977" spans="1:36" s="3" customFormat="1" ht="36" x14ac:dyDescent="0.25">
      <c r="A977" s="35" t="s">
        <v>2792</v>
      </c>
      <c r="B977" s="18" t="s">
        <v>37</v>
      </c>
      <c r="C977" s="76"/>
      <c r="D977" s="43" t="s">
        <v>5294</v>
      </c>
      <c r="E977" s="78"/>
      <c r="F977" s="36"/>
      <c r="G977" s="80"/>
      <c r="H977" s="80"/>
      <c r="I977" s="36" t="s">
        <v>5269</v>
      </c>
      <c r="J977" s="34" t="s">
        <v>5270</v>
      </c>
      <c r="K977" s="37" t="s">
        <v>5295</v>
      </c>
      <c r="L977" s="38">
        <v>41794</v>
      </c>
      <c r="M977" s="39">
        <v>42048</v>
      </c>
      <c r="N977" s="42">
        <v>242550.44</v>
      </c>
      <c r="O977" s="85"/>
      <c r="P977" s="86">
        <v>42067</v>
      </c>
      <c r="Q977" s="41">
        <v>34481.950000000012</v>
      </c>
      <c r="R977" s="41">
        <v>277032.39</v>
      </c>
      <c r="S977" s="80"/>
      <c r="T977" s="81"/>
      <c r="U977" s="80"/>
      <c r="V977" s="80"/>
      <c r="W977" s="42"/>
      <c r="X977" s="42">
        <v>276573.15999999997</v>
      </c>
      <c r="Y977" s="34" t="s">
        <v>4321</v>
      </c>
      <c r="Z977" s="19" t="s">
        <v>7038</v>
      </c>
      <c r="AA977" s="28" t="s">
        <v>8435</v>
      </c>
      <c r="AB977" s="56">
        <v>43399</v>
      </c>
      <c r="AC977" s="28" t="s">
        <v>7857</v>
      </c>
      <c r="AD977" s="28" t="s">
        <v>7858</v>
      </c>
      <c r="AE977" s="54" t="s">
        <v>7867</v>
      </c>
      <c r="AF977" s="54"/>
      <c r="AG977" s="54"/>
      <c r="AH977" s="53" t="s">
        <v>1591</v>
      </c>
      <c r="AI977" s="53" t="s">
        <v>2686</v>
      </c>
      <c r="AJ977" s="53" t="s">
        <v>1591</v>
      </c>
    </row>
    <row r="978" spans="1:36" s="3" customFormat="1" ht="60" x14ac:dyDescent="0.25">
      <c r="A978" s="17" t="s">
        <v>1423</v>
      </c>
      <c r="B978" s="18" t="s">
        <v>37</v>
      </c>
      <c r="C978" s="19" t="s">
        <v>121</v>
      </c>
      <c r="D978" s="45" t="s">
        <v>3028</v>
      </c>
      <c r="E978" s="50" t="s">
        <v>1436</v>
      </c>
      <c r="F978" s="58" t="s">
        <v>43</v>
      </c>
      <c r="G978" s="51">
        <v>1959902.26</v>
      </c>
      <c r="H978" s="51">
        <v>224323.75</v>
      </c>
      <c r="I978" s="50" t="s">
        <v>1437</v>
      </c>
      <c r="J978" s="58" t="s">
        <v>1438</v>
      </c>
      <c r="K978" s="52" t="s">
        <v>1188</v>
      </c>
      <c r="L978" s="59">
        <v>42443</v>
      </c>
      <c r="M978" s="60">
        <f>L978+300</f>
        <v>42743</v>
      </c>
      <c r="N978" s="51">
        <v>2155169.75</v>
      </c>
      <c r="O978" s="59">
        <v>43055</v>
      </c>
      <c r="P978" s="59">
        <f>M978+300</f>
        <v>43043</v>
      </c>
      <c r="Q978" s="51">
        <v>58917.55</v>
      </c>
      <c r="R978" s="51">
        <f>N978+Q978</f>
        <v>2214087.2999999998</v>
      </c>
      <c r="S978" s="51"/>
      <c r="T978" s="52" t="s">
        <v>32</v>
      </c>
      <c r="U978" s="51">
        <v>349384.93</v>
      </c>
      <c r="V978" s="51">
        <v>349384.93</v>
      </c>
      <c r="W978" s="51">
        <v>349384.93</v>
      </c>
      <c r="X978" s="51">
        <v>623861.12</v>
      </c>
      <c r="Y978" s="19" t="s">
        <v>157</v>
      </c>
      <c r="Z978" s="19"/>
      <c r="AA978" s="28" t="s">
        <v>8393</v>
      </c>
      <c r="AB978" s="56">
        <v>43451</v>
      </c>
      <c r="AC978" s="28" t="s">
        <v>8394</v>
      </c>
      <c r="AD978" s="28" t="s">
        <v>8395</v>
      </c>
      <c r="AE978" s="54" t="s">
        <v>8397</v>
      </c>
      <c r="AF978" s="54"/>
      <c r="AG978" s="54" t="s">
        <v>8396</v>
      </c>
      <c r="AH978" s="53" t="s">
        <v>1591</v>
      </c>
      <c r="AI978" s="53" t="s">
        <v>2686</v>
      </c>
      <c r="AJ978" s="53" t="s">
        <v>1591</v>
      </c>
    </row>
    <row r="979" spans="1:36" s="3" customFormat="1" ht="72" x14ac:dyDescent="0.25">
      <c r="A979" s="17" t="s">
        <v>1423</v>
      </c>
      <c r="B979" s="18" t="s">
        <v>37</v>
      </c>
      <c r="C979" s="19" t="s">
        <v>1424</v>
      </c>
      <c r="D979" s="45" t="s">
        <v>1425</v>
      </c>
      <c r="E979" s="50"/>
      <c r="F979" s="58" t="s">
        <v>43</v>
      </c>
      <c r="G979" s="51">
        <v>506139.74</v>
      </c>
      <c r="H979" s="51">
        <v>75060.490000000005</v>
      </c>
      <c r="I979" s="50" t="s">
        <v>1426</v>
      </c>
      <c r="J979" s="58" t="s">
        <v>1427</v>
      </c>
      <c r="K979" s="52" t="s">
        <v>1428</v>
      </c>
      <c r="L979" s="59">
        <v>41624</v>
      </c>
      <c r="M979" s="60">
        <f>L979+270</f>
        <v>41894</v>
      </c>
      <c r="N979" s="51">
        <v>506139.74</v>
      </c>
      <c r="O979" s="59"/>
      <c r="P979" s="59">
        <f>M979+810</f>
        <v>42704</v>
      </c>
      <c r="Q979" s="51">
        <v>75060.490000000005</v>
      </c>
      <c r="R979" s="51">
        <f>N979+Q979</f>
        <v>581200.23</v>
      </c>
      <c r="S979" s="51"/>
      <c r="T979" s="52" t="s">
        <v>32</v>
      </c>
      <c r="U979" s="51"/>
      <c r="V979" s="51"/>
      <c r="W979" s="51"/>
      <c r="X979" s="51">
        <v>205574.25</v>
      </c>
      <c r="Y979" s="19" t="s">
        <v>175</v>
      </c>
      <c r="Z979" s="19"/>
      <c r="AA979" s="28" t="s">
        <v>8393</v>
      </c>
      <c r="AB979" s="56">
        <v>43451</v>
      </c>
      <c r="AC979" s="28" t="s">
        <v>8394</v>
      </c>
      <c r="AD979" s="28" t="s">
        <v>8395</v>
      </c>
      <c r="AE979" s="54" t="s">
        <v>8400</v>
      </c>
      <c r="AF979" s="54"/>
      <c r="AG979" s="54" t="s">
        <v>8398</v>
      </c>
      <c r="AH979" s="53" t="s">
        <v>1591</v>
      </c>
      <c r="AI979" s="53" t="s">
        <v>2686</v>
      </c>
      <c r="AJ979" s="53" t="s">
        <v>1591</v>
      </c>
    </row>
    <row r="980" spans="1:36" s="3" customFormat="1" ht="72" x14ac:dyDescent="0.25">
      <c r="A980" s="17" t="s">
        <v>1423</v>
      </c>
      <c r="B980" s="18" t="s">
        <v>37</v>
      </c>
      <c r="C980" s="19" t="s">
        <v>1429</v>
      </c>
      <c r="D980" s="45" t="s">
        <v>1430</v>
      </c>
      <c r="E980" s="50" t="s">
        <v>1431</v>
      </c>
      <c r="F980" s="58" t="s">
        <v>1432</v>
      </c>
      <c r="G980" s="51">
        <v>361652.7</v>
      </c>
      <c r="H980" s="51">
        <v>110426.64</v>
      </c>
      <c r="I980" s="50" t="s">
        <v>1426</v>
      </c>
      <c r="J980" s="58" t="s">
        <v>1427</v>
      </c>
      <c r="K980" s="52" t="s">
        <v>155</v>
      </c>
      <c r="L980" s="59">
        <v>41929</v>
      </c>
      <c r="M980" s="60">
        <f>L980+365</f>
        <v>42294</v>
      </c>
      <c r="N980" s="51">
        <v>472079.34</v>
      </c>
      <c r="O980" s="59">
        <v>42829</v>
      </c>
      <c r="P980" s="59"/>
      <c r="Q980" s="51"/>
      <c r="R980" s="51">
        <f>N980+Q980</f>
        <v>472079.34</v>
      </c>
      <c r="S980" s="51"/>
      <c r="T980" s="52" t="s">
        <v>32</v>
      </c>
      <c r="U980" s="51">
        <v>30347.23</v>
      </c>
      <c r="V980" s="51">
        <v>30347.23</v>
      </c>
      <c r="W980" s="51">
        <v>30347.23</v>
      </c>
      <c r="X980" s="51">
        <v>401017.43</v>
      </c>
      <c r="Y980" s="19" t="s">
        <v>149</v>
      </c>
      <c r="Z980" s="19"/>
      <c r="AA980" s="28" t="s">
        <v>8393</v>
      </c>
      <c r="AB980" s="56">
        <v>43451</v>
      </c>
      <c r="AC980" s="28" t="s">
        <v>8394</v>
      </c>
      <c r="AD980" s="28" t="s">
        <v>8395</v>
      </c>
      <c r="AE980" s="54" t="s">
        <v>8399</v>
      </c>
      <c r="AF980" s="54"/>
      <c r="AG980" s="54" t="s">
        <v>8398</v>
      </c>
      <c r="AH980" s="53" t="s">
        <v>1591</v>
      </c>
      <c r="AI980" s="53" t="s">
        <v>2686</v>
      </c>
      <c r="AJ980" s="53" t="s">
        <v>1591</v>
      </c>
    </row>
    <row r="981" spans="1:36" s="3" customFormat="1" ht="72" x14ac:dyDescent="0.25">
      <c r="A981" s="17" t="s">
        <v>1423</v>
      </c>
      <c r="B981" s="18" t="s">
        <v>37</v>
      </c>
      <c r="C981" s="19" t="s">
        <v>1433</v>
      </c>
      <c r="D981" s="45" t="s">
        <v>1434</v>
      </c>
      <c r="E981" s="50" t="s">
        <v>1431</v>
      </c>
      <c r="F981" s="58" t="s">
        <v>1432</v>
      </c>
      <c r="G981" s="51">
        <v>79650.240000000005</v>
      </c>
      <c r="H981" s="51">
        <v>6661.61</v>
      </c>
      <c r="I981" s="50" t="s">
        <v>1426</v>
      </c>
      <c r="J981" s="58" t="s">
        <v>1427</v>
      </c>
      <c r="K981" s="52" t="s">
        <v>957</v>
      </c>
      <c r="L981" s="59">
        <v>41953</v>
      </c>
      <c r="M981" s="60">
        <f>L981+180</f>
        <v>42133</v>
      </c>
      <c r="N981" s="51">
        <v>86311.85</v>
      </c>
      <c r="O981" s="59">
        <v>42493</v>
      </c>
      <c r="P981" s="59">
        <f>M981+540</f>
        <v>42673</v>
      </c>
      <c r="Q981" s="51"/>
      <c r="R981" s="51">
        <f>N981+Q981</f>
        <v>86311.85</v>
      </c>
      <c r="S981" s="51"/>
      <c r="T981" s="52" t="s">
        <v>32</v>
      </c>
      <c r="U981" s="51"/>
      <c r="V981" s="51"/>
      <c r="W981" s="51"/>
      <c r="X981" s="51">
        <v>52154.59</v>
      </c>
      <c r="Y981" s="19" t="s">
        <v>149</v>
      </c>
      <c r="Z981" s="19"/>
      <c r="AA981" s="28" t="s">
        <v>8393</v>
      </c>
      <c r="AB981" s="56">
        <v>43451</v>
      </c>
      <c r="AC981" s="28" t="s">
        <v>8394</v>
      </c>
      <c r="AD981" s="28" t="s">
        <v>8395</v>
      </c>
      <c r="AE981" s="54" t="s">
        <v>8401</v>
      </c>
      <c r="AF981" s="54"/>
      <c r="AG981" s="54" t="s">
        <v>8398</v>
      </c>
      <c r="AH981" s="53" t="s">
        <v>1591</v>
      </c>
      <c r="AI981" s="53" t="s">
        <v>2686</v>
      </c>
      <c r="AJ981" s="53" t="s">
        <v>1591</v>
      </c>
    </row>
    <row r="982" spans="1:36" s="3" customFormat="1" ht="36" x14ac:dyDescent="0.25">
      <c r="A982" s="35" t="s">
        <v>2767</v>
      </c>
      <c r="B982" s="18" t="s">
        <v>37</v>
      </c>
      <c r="C982" s="76"/>
      <c r="D982" s="43" t="s">
        <v>5306</v>
      </c>
      <c r="E982" s="78"/>
      <c r="F982" s="36"/>
      <c r="G982" s="80"/>
      <c r="H982" s="80"/>
      <c r="I982" s="36" t="s">
        <v>1299</v>
      </c>
      <c r="J982" s="34" t="s">
        <v>5298</v>
      </c>
      <c r="K982" s="37" t="s">
        <v>5299</v>
      </c>
      <c r="L982" s="38">
        <v>40848</v>
      </c>
      <c r="M982" s="39">
        <v>40968</v>
      </c>
      <c r="N982" s="42">
        <v>618980.26</v>
      </c>
      <c r="O982" s="85"/>
      <c r="P982" s="86"/>
      <c r="Q982" s="41"/>
      <c r="R982" s="41">
        <v>618980.26</v>
      </c>
      <c r="S982" s="80"/>
      <c r="T982" s="81"/>
      <c r="U982" s="80"/>
      <c r="V982" s="80"/>
      <c r="W982" s="42"/>
      <c r="X982" s="42">
        <v>453474.61</v>
      </c>
      <c r="Y982" s="34" t="s">
        <v>576</v>
      </c>
      <c r="Z982" s="19" t="s">
        <v>7038</v>
      </c>
      <c r="AA982" s="28"/>
      <c r="AB982" s="56"/>
      <c r="AC982" s="28"/>
      <c r="AD982" s="28"/>
      <c r="AE982" s="54"/>
      <c r="AF982" s="54"/>
      <c r="AG982" s="54"/>
      <c r="AH982" s="53"/>
      <c r="AI982" s="53" t="s">
        <v>1591</v>
      </c>
      <c r="AJ982" s="53" t="s">
        <v>1591</v>
      </c>
    </row>
    <row r="983" spans="1:36" s="3" customFormat="1" ht="36" x14ac:dyDescent="0.25">
      <c r="A983" s="35" t="s">
        <v>2767</v>
      </c>
      <c r="B983" s="18" t="s">
        <v>37</v>
      </c>
      <c r="C983" s="76"/>
      <c r="D983" s="43" t="s">
        <v>5296</v>
      </c>
      <c r="E983" s="78"/>
      <c r="F983" s="36" t="s">
        <v>5297</v>
      </c>
      <c r="G983" s="80"/>
      <c r="H983" s="80"/>
      <c r="I983" s="36" t="s">
        <v>1299</v>
      </c>
      <c r="J983" s="34" t="s">
        <v>5298</v>
      </c>
      <c r="K983" s="37" t="s">
        <v>5299</v>
      </c>
      <c r="L983" s="38">
        <v>40721</v>
      </c>
      <c r="M983" s="39">
        <v>40841</v>
      </c>
      <c r="N983" s="42">
        <v>303289.43</v>
      </c>
      <c r="O983" s="85">
        <v>42288</v>
      </c>
      <c r="P983" s="86">
        <v>40841</v>
      </c>
      <c r="Q983" s="41"/>
      <c r="R983" s="41">
        <v>303289.43</v>
      </c>
      <c r="S983" s="80"/>
      <c r="T983" s="81"/>
      <c r="U983" s="80"/>
      <c r="V983" s="80"/>
      <c r="W983" s="42"/>
      <c r="X983" s="42">
        <v>86770.34</v>
      </c>
      <c r="Y983" s="34" t="s">
        <v>4321</v>
      </c>
      <c r="Z983" s="19" t="s">
        <v>7038</v>
      </c>
      <c r="AA983" s="28"/>
      <c r="AB983" s="56"/>
      <c r="AC983" s="28"/>
      <c r="AD983" s="28"/>
      <c r="AE983" s="54"/>
      <c r="AF983" s="54"/>
      <c r="AG983" s="54"/>
      <c r="AH983" s="53"/>
      <c r="AI983" s="53" t="s">
        <v>1591</v>
      </c>
      <c r="AJ983" s="53" t="s">
        <v>1591</v>
      </c>
    </row>
    <row r="984" spans="1:36" s="3" customFormat="1" ht="36" x14ac:dyDescent="0.25">
      <c r="A984" s="35" t="s">
        <v>2767</v>
      </c>
      <c r="B984" s="18" t="s">
        <v>37</v>
      </c>
      <c r="C984" s="76"/>
      <c r="D984" s="43" t="s">
        <v>5300</v>
      </c>
      <c r="E984" s="78"/>
      <c r="F984" s="36" t="s">
        <v>5301</v>
      </c>
      <c r="G984" s="80"/>
      <c r="H984" s="80"/>
      <c r="I984" s="36" t="s">
        <v>5302</v>
      </c>
      <c r="J984" s="34" t="s">
        <v>5303</v>
      </c>
      <c r="K984" s="37" t="s">
        <v>2022</v>
      </c>
      <c r="L984" s="38">
        <v>41446</v>
      </c>
      <c r="M984" s="39">
        <v>41626</v>
      </c>
      <c r="N984" s="42">
        <v>216546.76</v>
      </c>
      <c r="O984" s="85">
        <v>42047</v>
      </c>
      <c r="P984" s="86">
        <v>41626</v>
      </c>
      <c r="Q984" s="41"/>
      <c r="R984" s="41">
        <v>216546.76</v>
      </c>
      <c r="S984" s="80"/>
      <c r="T984" s="81"/>
      <c r="U984" s="80"/>
      <c r="V984" s="80"/>
      <c r="W984" s="42"/>
      <c r="X984" s="42">
        <v>58197.19</v>
      </c>
      <c r="Y984" s="34" t="s">
        <v>4321</v>
      </c>
      <c r="Z984" s="19" t="s">
        <v>7038</v>
      </c>
      <c r="AA984" s="28"/>
      <c r="AB984" s="56"/>
      <c r="AC984" s="28"/>
      <c r="AD984" s="28"/>
      <c r="AE984" s="54"/>
      <c r="AF984" s="54"/>
      <c r="AG984" s="54"/>
      <c r="AH984" s="53"/>
      <c r="AI984" s="53" t="s">
        <v>1591</v>
      </c>
      <c r="AJ984" s="53" t="s">
        <v>1591</v>
      </c>
    </row>
    <row r="985" spans="1:36" s="3" customFormat="1" ht="36" x14ac:dyDescent="0.25">
      <c r="A985" s="35" t="s">
        <v>2767</v>
      </c>
      <c r="B985" s="18" t="s">
        <v>37</v>
      </c>
      <c r="C985" s="76"/>
      <c r="D985" s="43" t="s">
        <v>5304</v>
      </c>
      <c r="E985" s="78"/>
      <c r="F985" s="36" t="s">
        <v>5305</v>
      </c>
      <c r="G985" s="80"/>
      <c r="H985" s="80"/>
      <c r="I985" s="36" t="s">
        <v>1299</v>
      </c>
      <c r="J985" s="34" t="s">
        <v>5298</v>
      </c>
      <c r="K985" s="37" t="s">
        <v>5299</v>
      </c>
      <c r="L985" s="38">
        <v>40655</v>
      </c>
      <c r="M985" s="39">
        <v>40775</v>
      </c>
      <c r="N985" s="42">
        <v>132392.42000000001</v>
      </c>
      <c r="O985" s="85">
        <v>42185</v>
      </c>
      <c r="P985" s="86">
        <v>40775</v>
      </c>
      <c r="Q985" s="41"/>
      <c r="R985" s="41">
        <v>132392.42000000001</v>
      </c>
      <c r="S985" s="80"/>
      <c r="T985" s="81"/>
      <c r="U985" s="80"/>
      <c r="V985" s="80"/>
      <c r="W985" s="42"/>
      <c r="X985" s="42">
        <v>37703.15</v>
      </c>
      <c r="Y985" s="34" t="s">
        <v>4321</v>
      </c>
      <c r="Z985" s="19" t="s">
        <v>7038</v>
      </c>
      <c r="AA985" s="28"/>
      <c r="AB985" s="56"/>
      <c r="AC985" s="28"/>
      <c r="AD985" s="28"/>
      <c r="AE985" s="54"/>
      <c r="AF985" s="54"/>
      <c r="AG985" s="54"/>
      <c r="AH985" s="53"/>
      <c r="AI985" s="53" t="s">
        <v>1591</v>
      </c>
      <c r="AJ985" s="53" t="s">
        <v>1591</v>
      </c>
    </row>
    <row r="986" spans="1:36" s="3" customFormat="1" ht="36" x14ac:dyDescent="0.25">
      <c r="A986" s="17" t="s">
        <v>2817</v>
      </c>
      <c r="B986" s="18" t="s">
        <v>37</v>
      </c>
      <c r="C986" s="19" t="s">
        <v>3030</v>
      </c>
      <c r="D986" s="45" t="s">
        <v>2818</v>
      </c>
      <c r="E986" s="50"/>
      <c r="F986" s="58" t="s">
        <v>3210</v>
      </c>
      <c r="G986" s="51"/>
      <c r="H986" s="51"/>
      <c r="I986" s="50" t="s">
        <v>2819</v>
      </c>
      <c r="J986" s="58" t="s">
        <v>2821</v>
      </c>
      <c r="K986" s="52" t="s">
        <v>999</v>
      </c>
      <c r="L986" s="59" t="s">
        <v>2935</v>
      </c>
      <c r="M986" s="60">
        <f>L986+180</f>
        <v>42207</v>
      </c>
      <c r="N986" s="51">
        <v>1201508.79</v>
      </c>
      <c r="O986" s="59" t="s">
        <v>3303</v>
      </c>
      <c r="P986" s="59"/>
      <c r="Q986" s="51"/>
      <c r="R986" s="51">
        <f>N986+Q986</f>
        <v>1201508.79</v>
      </c>
      <c r="S986" s="51" t="s">
        <v>3304</v>
      </c>
      <c r="T986" s="52"/>
      <c r="U986" s="51"/>
      <c r="V986" s="51"/>
      <c r="W986" s="51"/>
      <c r="X986" s="51" t="s">
        <v>3354</v>
      </c>
      <c r="Y986" s="19" t="s">
        <v>1319</v>
      </c>
      <c r="Z986" s="19"/>
      <c r="AA986" s="28"/>
      <c r="AB986" s="56"/>
      <c r="AC986" s="28"/>
      <c r="AD986" s="28"/>
      <c r="AE986" s="54"/>
      <c r="AF986" s="54"/>
      <c r="AG986" s="54"/>
      <c r="AH986" s="53"/>
      <c r="AI986" s="53" t="s">
        <v>1591</v>
      </c>
      <c r="AJ986" s="53" t="s">
        <v>1591</v>
      </c>
    </row>
    <row r="987" spans="1:36" s="3" customFormat="1" ht="36" x14ac:dyDescent="0.25">
      <c r="A987" s="17" t="s">
        <v>2817</v>
      </c>
      <c r="B987" s="18" t="s">
        <v>37</v>
      </c>
      <c r="C987" s="19" t="s">
        <v>828</v>
      </c>
      <c r="D987" s="45" t="s">
        <v>3031</v>
      </c>
      <c r="E987" s="50"/>
      <c r="F987" s="58" t="s">
        <v>950</v>
      </c>
      <c r="G987" s="51">
        <v>816000</v>
      </c>
      <c r="H987" s="51">
        <v>193764.23</v>
      </c>
      <c r="I987" s="50" t="s">
        <v>2820</v>
      </c>
      <c r="J987" s="58" t="s">
        <v>2821</v>
      </c>
      <c r="K987" s="52" t="s">
        <v>1562</v>
      </c>
      <c r="L987" s="59" t="s">
        <v>2849</v>
      </c>
      <c r="M987" s="60">
        <f>L987+180</f>
        <v>42056</v>
      </c>
      <c r="N987" s="51">
        <v>1009764.23</v>
      </c>
      <c r="O987" s="59" t="s">
        <v>3305</v>
      </c>
      <c r="P987" s="59"/>
      <c r="Q987" s="51"/>
      <c r="R987" s="51">
        <f>N987+Q987</f>
        <v>1009764.23</v>
      </c>
      <c r="S987" s="51"/>
      <c r="T987" s="52"/>
      <c r="U987" s="51"/>
      <c r="V987" s="51"/>
      <c r="W987" s="51"/>
      <c r="X987" s="51" t="s">
        <v>3355</v>
      </c>
      <c r="Y987" s="19" t="s">
        <v>136</v>
      </c>
      <c r="Z987" s="19"/>
      <c r="AA987" s="28"/>
      <c r="AB987" s="56"/>
      <c r="AC987" s="28"/>
      <c r="AD987" s="28"/>
      <c r="AE987" s="54"/>
      <c r="AF987" s="54"/>
      <c r="AG987" s="54"/>
      <c r="AH987" s="53"/>
      <c r="AI987" s="53" t="s">
        <v>1591</v>
      </c>
      <c r="AJ987" s="53" t="s">
        <v>1591</v>
      </c>
    </row>
    <row r="988" spans="1:36" s="3" customFormat="1" ht="36" x14ac:dyDescent="0.25">
      <c r="A988" s="35" t="s">
        <v>2817</v>
      </c>
      <c r="B988" s="18" t="s">
        <v>37</v>
      </c>
      <c r="C988" s="76"/>
      <c r="D988" s="43" t="s">
        <v>5307</v>
      </c>
      <c r="E988" s="78"/>
      <c r="F988" s="36" t="s">
        <v>43</v>
      </c>
      <c r="G988" s="80"/>
      <c r="H988" s="80"/>
      <c r="I988" s="36" t="s">
        <v>5308</v>
      </c>
      <c r="J988" s="34" t="s">
        <v>5309</v>
      </c>
      <c r="K988" s="37" t="s">
        <v>5310</v>
      </c>
      <c r="L988" s="38">
        <v>41662</v>
      </c>
      <c r="M988" s="39">
        <v>41932</v>
      </c>
      <c r="N988" s="42">
        <v>507921.03</v>
      </c>
      <c r="O988" s="85">
        <v>42041</v>
      </c>
      <c r="P988" s="86">
        <v>42472</v>
      </c>
      <c r="Q988" s="41"/>
      <c r="R988" s="41">
        <v>507921.03</v>
      </c>
      <c r="S988" s="80"/>
      <c r="T988" s="81"/>
      <c r="U988" s="80"/>
      <c r="V988" s="80"/>
      <c r="W988" s="42"/>
      <c r="X988" s="42">
        <v>260742.33</v>
      </c>
      <c r="Y988" s="34" t="s">
        <v>4321</v>
      </c>
      <c r="Z988" s="19" t="s">
        <v>7038</v>
      </c>
      <c r="AA988" s="28"/>
      <c r="AB988" s="56"/>
      <c r="AC988" s="28"/>
      <c r="AD988" s="28"/>
      <c r="AE988" s="54"/>
      <c r="AF988" s="54"/>
      <c r="AG988" s="54"/>
      <c r="AH988" s="53"/>
      <c r="AI988" s="53" t="s">
        <v>1591</v>
      </c>
      <c r="AJ988" s="53" t="s">
        <v>1591</v>
      </c>
    </row>
    <row r="989" spans="1:36" s="3" customFormat="1" ht="72" x14ac:dyDescent="0.25">
      <c r="A989" s="17" t="s">
        <v>1441</v>
      </c>
      <c r="B989" s="18" t="s">
        <v>37</v>
      </c>
      <c r="C989" s="19" t="s">
        <v>3034</v>
      </c>
      <c r="D989" s="45" t="s">
        <v>2825</v>
      </c>
      <c r="E989" s="50" t="s">
        <v>3213</v>
      </c>
      <c r="F989" s="58" t="s">
        <v>2826</v>
      </c>
      <c r="G989" s="51">
        <v>453376.36</v>
      </c>
      <c r="H989" s="51"/>
      <c r="I989" s="50" t="s">
        <v>2827</v>
      </c>
      <c r="J989" s="58" t="s">
        <v>2828</v>
      </c>
      <c r="K989" s="52" t="s">
        <v>2829</v>
      </c>
      <c r="L989" s="59" t="s">
        <v>2927</v>
      </c>
      <c r="M989" s="60">
        <f>L989+270</f>
        <v>41317</v>
      </c>
      <c r="N989" s="51">
        <v>497898.08</v>
      </c>
      <c r="O989" s="59" t="s">
        <v>3306</v>
      </c>
      <c r="P989" s="59">
        <f>M989+1350</f>
        <v>42667</v>
      </c>
      <c r="Q989" s="51"/>
      <c r="R989" s="51">
        <f>N989+Q989</f>
        <v>497898.08</v>
      </c>
      <c r="S989" s="51"/>
      <c r="T989" s="52" t="s">
        <v>52</v>
      </c>
      <c r="U989" s="51">
        <v>0</v>
      </c>
      <c r="V989" s="51">
        <v>0</v>
      </c>
      <c r="W989" s="51">
        <v>0</v>
      </c>
      <c r="X989" s="51">
        <v>398860.26</v>
      </c>
      <c r="Y989" s="19" t="s">
        <v>157</v>
      </c>
      <c r="Z989" s="19"/>
      <c r="AA989" s="28" t="s">
        <v>7871</v>
      </c>
      <c r="AB989" s="56">
        <v>43418</v>
      </c>
      <c r="AC989" s="28" t="s">
        <v>7872</v>
      </c>
      <c r="AD989" s="28" t="s">
        <v>7873</v>
      </c>
      <c r="AE989" s="54" t="s">
        <v>7874</v>
      </c>
      <c r="AF989" s="54"/>
      <c r="AG989" s="54" t="s">
        <v>7875</v>
      </c>
      <c r="AH989" s="53" t="s">
        <v>1591</v>
      </c>
      <c r="AI989" s="53" t="s">
        <v>2686</v>
      </c>
      <c r="AJ989" s="53" t="s">
        <v>1591</v>
      </c>
    </row>
    <row r="990" spans="1:36" s="3" customFormat="1" ht="84" x14ac:dyDescent="0.25">
      <c r="A990" s="35" t="s">
        <v>2824</v>
      </c>
      <c r="B990" s="18" t="s">
        <v>37</v>
      </c>
      <c r="C990" s="76"/>
      <c r="D990" s="43" t="s">
        <v>5311</v>
      </c>
      <c r="E990" s="78"/>
      <c r="F990" s="36" t="s">
        <v>1212</v>
      </c>
      <c r="G990" s="80"/>
      <c r="H990" s="80"/>
      <c r="I990" s="36" t="s">
        <v>826</v>
      </c>
      <c r="J990" s="34" t="s">
        <v>5312</v>
      </c>
      <c r="K990" s="37" t="s">
        <v>5313</v>
      </c>
      <c r="L990" s="38">
        <v>41955</v>
      </c>
      <c r="M990" s="39">
        <v>42000</v>
      </c>
      <c r="N990" s="42">
        <v>118255.23</v>
      </c>
      <c r="O990" s="85" t="s">
        <v>5314</v>
      </c>
      <c r="P990" s="86">
        <v>42225</v>
      </c>
      <c r="Q990" s="41">
        <v>17808.599999999999</v>
      </c>
      <c r="R990" s="41">
        <v>136063.82999999999</v>
      </c>
      <c r="S990" s="80"/>
      <c r="T990" s="81"/>
      <c r="U990" s="80"/>
      <c r="V990" s="80"/>
      <c r="W990" s="42"/>
      <c r="X990" s="42">
        <v>99132.97</v>
      </c>
      <c r="Y990" s="34" t="s">
        <v>4321</v>
      </c>
      <c r="Z990" s="19" t="s">
        <v>7038</v>
      </c>
      <c r="AA990" s="28" t="s">
        <v>7871</v>
      </c>
      <c r="AB990" s="56">
        <v>43418</v>
      </c>
      <c r="AC990" s="28" t="s">
        <v>7872</v>
      </c>
      <c r="AD990" s="28" t="s">
        <v>7873</v>
      </c>
      <c r="AE990" s="54" t="s">
        <v>7870</v>
      </c>
      <c r="AF990" s="54"/>
      <c r="AG990" s="54" t="s">
        <v>7876</v>
      </c>
      <c r="AH990" s="53" t="s">
        <v>1591</v>
      </c>
      <c r="AI990" s="53" t="s">
        <v>2686</v>
      </c>
      <c r="AJ990" s="53" t="s">
        <v>1591</v>
      </c>
    </row>
    <row r="991" spans="1:36" s="3" customFormat="1" ht="48" x14ac:dyDescent="0.25">
      <c r="A991" s="17" t="s">
        <v>1441</v>
      </c>
      <c r="B991" s="18" t="s">
        <v>37</v>
      </c>
      <c r="C991" s="19" t="s">
        <v>3032</v>
      </c>
      <c r="D991" s="45" t="s">
        <v>3033</v>
      </c>
      <c r="E991" s="50" t="s">
        <v>387</v>
      </c>
      <c r="F991" s="58" t="s">
        <v>410</v>
      </c>
      <c r="G991" s="51"/>
      <c r="H991" s="51"/>
      <c r="I991" s="50" t="s">
        <v>1314</v>
      </c>
      <c r="J991" s="58" t="s">
        <v>3212</v>
      </c>
      <c r="K991" s="52" t="s">
        <v>2895</v>
      </c>
      <c r="L991" s="59"/>
      <c r="M991" s="60" t="s">
        <v>150</v>
      </c>
      <c r="N991" s="51"/>
      <c r="O991" s="59"/>
      <c r="P991" s="59"/>
      <c r="Q991" s="51"/>
      <c r="R991" s="51">
        <f t="shared" ref="R991:R994" si="41">N991+Q991</f>
        <v>0</v>
      </c>
      <c r="S991" s="51"/>
      <c r="T991" s="52">
        <v>734410000</v>
      </c>
      <c r="U991" s="51"/>
      <c r="V991" s="51"/>
      <c r="W991" s="51"/>
      <c r="X991" s="51"/>
      <c r="Y991" s="19" t="s">
        <v>503</v>
      </c>
      <c r="Z991" s="20" t="s">
        <v>4308</v>
      </c>
      <c r="AA991" s="28" t="s">
        <v>7871</v>
      </c>
      <c r="AB991" s="56">
        <v>43418</v>
      </c>
      <c r="AC991" s="28" t="s">
        <v>7872</v>
      </c>
      <c r="AD991" s="28" t="s">
        <v>7873</v>
      </c>
      <c r="AE991" s="54" t="s">
        <v>7870</v>
      </c>
      <c r="AF991" s="54"/>
      <c r="AG991" s="54" t="s">
        <v>7877</v>
      </c>
      <c r="AH991" s="53" t="s">
        <v>1591</v>
      </c>
      <c r="AI991" s="53" t="s">
        <v>2686</v>
      </c>
      <c r="AJ991" s="53" t="s">
        <v>1591</v>
      </c>
    </row>
    <row r="992" spans="1:36" s="3" customFormat="1" ht="84" x14ac:dyDescent="0.25">
      <c r="A992" s="17" t="s">
        <v>1441</v>
      </c>
      <c r="B992" s="18" t="s">
        <v>37</v>
      </c>
      <c r="C992" s="19" t="s">
        <v>1446</v>
      </c>
      <c r="D992" s="45" t="s">
        <v>1448</v>
      </c>
      <c r="E992" s="50" t="s">
        <v>1443</v>
      </c>
      <c r="F992" s="58">
        <v>48316897702.102501</v>
      </c>
      <c r="G992" s="51"/>
      <c r="H992" s="51"/>
      <c r="I992" s="50" t="s">
        <v>48</v>
      </c>
      <c r="J992" s="58" t="s">
        <v>1449</v>
      </c>
      <c r="K992" s="52" t="s">
        <v>438</v>
      </c>
      <c r="L992" s="59"/>
      <c r="M992" s="60" t="s">
        <v>3294</v>
      </c>
      <c r="N992" s="51"/>
      <c r="O992" s="59"/>
      <c r="P992" s="59" t="s">
        <v>3294</v>
      </c>
      <c r="Q992" s="51"/>
      <c r="R992" s="51">
        <f t="shared" si="41"/>
        <v>0</v>
      </c>
      <c r="S992" s="51"/>
      <c r="T992" s="52">
        <v>201646800601</v>
      </c>
      <c r="U992" s="51"/>
      <c r="V992" s="51"/>
      <c r="W992" s="51"/>
      <c r="X992" s="51"/>
      <c r="Y992" s="19" t="s">
        <v>844</v>
      </c>
      <c r="Z992" s="20" t="s">
        <v>3919</v>
      </c>
      <c r="AA992" s="28" t="s">
        <v>7871</v>
      </c>
      <c r="AB992" s="56">
        <v>43418</v>
      </c>
      <c r="AC992" s="28" t="s">
        <v>7872</v>
      </c>
      <c r="AD992" s="28" t="s">
        <v>7873</v>
      </c>
      <c r="AE992" s="54" t="s">
        <v>7878</v>
      </c>
      <c r="AF992" s="54"/>
      <c r="AG992" s="54" t="s">
        <v>7879</v>
      </c>
      <c r="AH992" s="53" t="s">
        <v>1591</v>
      </c>
      <c r="AI992" s="53" t="s">
        <v>2686</v>
      </c>
      <c r="AJ992" s="53" t="s">
        <v>1591</v>
      </c>
    </row>
    <row r="993" spans="1:36" s="3" customFormat="1" ht="60" x14ac:dyDescent="0.25">
      <c r="A993" s="17" t="s">
        <v>1441</v>
      </c>
      <c r="B993" s="18" t="s">
        <v>37</v>
      </c>
      <c r="C993" s="19" t="s">
        <v>1021</v>
      </c>
      <c r="D993" s="45" t="s">
        <v>1442</v>
      </c>
      <c r="E993" s="50" t="s">
        <v>1443</v>
      </c>
      <c r="F993" s="58">
        <v>454046316359.56799</v>
      </c>
      <c r="G993" s="51"/>
      <c r="H993" s="51"/>
      <c r="I993" s="50" t="s">
        <v>1444</v>
      </c>
      <c r="J993" s="58" t="s">
        <v>1445</v>
      </c>
      <c r="K993" s="52" t="s">
        <v>434</v>
      </c>
      <c r="L993" s="59"/>
      <c r="M993" s="60" t="s">
        <v>3294</v>
      </c>
      <c r="N993" s="51"/>
      <c r="O993" s="59"/>
      <c r="P993" s="59" t="s">
        <v>3294</v>
      </c>
      <c r="Q993" s="51"/>
      <c r="R993" s="51">
        <f t="shared" si="41"/>
        <v>0</v>
      </c>
      <c r="S993" s="51"/>
      <c r="T993" s="52">
        <v>201646800601</v>
      </c>
      <c r="U993" s="51"/>
      <c r="V993" s="51"/>
      <c r="W993" s="51"/>
      <c r="X993" s="51"/>
      <c r="Y993" s="19" t="s">
        <v>503</v>
      </c>
      <c r="Z993" s="20" t="s">
        <v>4308</v>
      </c>
      <c r="AA993" s="28" t="s">
        <v>7871</v>
      </c>
      <c r="AB993" s="56">
        <v>43418</v>
      </c>
      <c r="AC993" s="28" t="s">
        <v>7872</v>
      </c>
      <c r="AD993" s="28" t="s">
        <v>7873</v>
      </c>
      <c r="AE993" s="54" t="s">
        <v>7880</v>
      </c>
      <c r="AF993" s="54"/>
      <c r="AG993" s="54" t="s">
        <v>7881</v>
      </c>
      <c r="AH993" s="53" t="s">
        <v>1591</v>
      </c>
      <c r="AI993" s="53" t="s">
        <v>2686</v>
      </c>
      <c r="AJ993" s="53" t="s">
        <v>1591</v>
      </c>
    </row>
    <row r="994" spans="1:36" s="3" customFormat="1" ht="60" x14ac:dyDescent="0.25">
      <c r="A994" s="17" t="s">
        <v>1441</v>
      </c>
      <c r="B994" s="18" t="s">
        <v>37</v>
      </c>
      <c r="C994" s="19" t="s">
        <v>1446</v>
      </c>
      <c r="D994" s="45" t="s">
        <v>1447</v>
      </c>
      <c r="E994" s="50" t="s">
        <v>1443</v>
      </c>
      <c r="F994" s="58">
        <v>22050037405.502499</v>
      </c>
      <c r="G994" s="51"/>
      <c r="H994" s="51"/>
      <c r="I994" s="50" t="s">
        <v>1444</v>
      </c>
      <c r="J994" s="58" t="s">
        <v>1445</v>
      </c>
      <c r="K994" s="52" t="s">
        <v>434</v>
      </c>
      <c r="L994" s="59"/>
      <c r="M994" s="60" t="s">
        <v>3294</v>
      </c>
      <c r="N994" s="51"/>
      <c r="O994" s="59"/>
      <c r="P994" s="59" t="s">
        <v>3294</v>
      </c>
      <c r="Q994" s="51"/>
      <c r="R994" s="51">
        <f t="shared" si="41"/>
        <v>0</v>
      </c>
      <c r="S994" s="51"/>
      <c r="T994" s="52">
        <v>201646800601</v>
      </c>
      <c r="U994" s="51"/>
      <c r="V994" s="51"/>
      <c r="W994" s="51"/>
      <c r="X994" s="51"/>
      <c r="Y994" s="19" t="s">
        <v>844</v>
      </c>
      <c r="Z994" s="20" t="s">
        <v>4308</v>
      </c>
      <c r="AA994" s="28" t="s">
        <v>7871</v>
      </c>
      <c r="AB994" s="56">
        <v>43418</v>
      </c>
      <c r="AC994" s="28" t="s">
        <v>7872</v>
      </c>
      <c r="AD994" s="28" t="s">
        <v>7873</v>
      </c>
      <c r="AE994" s="54" t="s">
        <v>7880</v>
      </c>
      <c r="AF994" s="54"/>
      <c r="AG994" s="54" t="s">
        <v>7881</v>
      </c>
      <c r="AH994" s="53" t="s">
        <v>1591</v>
      </c>
      <c r="AI994" s="53" t="s">
        <v>2686</v>
      </c>
      <c r="AJ994" s="53" t="s">
        <v>1591</v>
      </c>
    </row>
    <row r="995" spans="1:36" s="3" customFormat="1" ht="96" x14ac:dyDescent="0.25">
      <c r="A995" s="17" t="s">
        <v>1450</v>
      </c>
      <c r="B995" s="18" t="s">
        <v>37</v>
      </c>
      <c r="C995" s="76"/>
      <c r="D995" s="43" t="s">
        <v>5315</v>
      </c>
      <c r="E995" s="78"/>
      <c r="F995" s="36" t="s">
        <v>43</v>
      </c>
      <c r="G995" s="80"/>
      <c r="H995" s="80"/>
      <c r="I995" s="36" t="s">
        <v>5316</v>
      </c>
      <c r="J995" s="34" t="s">
        <v>5317</v>
      </c>
      <c r="K995" s="37" t="s">
        <v>5318</v>
      </c>
      <c r="L995" s="38">
        <v>41899</v>
      </c>
      <c r="M995" s="39">
        <v>42079</v>
      </c>
      <c r="N995" s="42">
        <v>986743.35</v>
      </c>
      <c r="O995" s="85" t="s">
        <v>46</v>
      </c>
      <c r="P995" s="86">
        <v>42079</v>
      </c>
      <c r="Q995" s="41"/>
      <c r="R995" s="41">
        <v>986743.35</v>
      </c>
      <c r="S995" s="80"/>
      <c r="T995" s="81"/>
      <c r="U995" s="80"/>
      <c r="V995" s="80"/>
      <c r="W995" s="42"/>
      <c r="X995" s="42">
        <v>123823.82</v>
      </c>
      <c r="Y995" s="34" t="s">
        <v>4321</v>
      </c>
      <c r="Z995" s="19" t="s">
        <v>7038</v>
      </c>
      <c r="AA995" s="28" t="s">
        <v>8450</v>
      </c>
      <c r="AB995" s="56">
        <v>43402</v>
      </c>
      <c r="AC995" s="28" t="s">
        <v>7882</v>
      </c>
      <c r="AD995" s="28" t="s">
        <v>7883</v>
      </c>
      <c r="AE995" s="54" t="s">
        <v>7884</v>
      </c>
      <c r="AF995" s="54"/>
      <c r="AG995" s="54" t="s">
        <v>7885</v>
      </c>
      <c r="AH995" s="53" t="s">
        <v>1591</v>
      </c>
      <c r="AI995" s="53" t="s">
        <v>2686</v>
      </c>
      <c r="AJ995" s="53" t="s">
        <v>1591</v>
      </c>
    </row>
    <row r="996" spans="1:36" s="3" customFormat="1" ht="48" x14ac:dyDescent="0.25">
      <c r="A996" s="17" t="s">
        <v>1450</v>
      </c>
      <c r="B996" s="18" t="s">
        <v>37</v>
      </c>
      <c r="C996" s="76"/>
      <c r="D996" s="43" t="s">
        <v>5319</v>
      </c>
      <c r="E996" s="78"/>
      <c r="F996" s="36"/>
      <c r="G996" s="80"/>
      <c r="H996" s="80"/>
      <c r="I996" s="36" t="s">
        <v>5316</v>
      </c>
      <c r="J996" s="34" t="s">
        <v>5317</v>
      </c>
      <c r="K996" s="37" t="s">
        <v>5320</v>
      </c>
      <c r="L996" s="38">
        <v>41894</v>
      </c>
      <c r="M996" s="39">
        <v>42074</v>
      </c>
      <c r="N996" s="42">
        <v>562524.12</v>
      </c>
      <c r="O996" s="85" t="s">
        <v>46</v>
      </c>
      <c r="P996" s="86">
        <v>42074</v>
      </c>
      <c r="Q996" s="41"/>
      <c r="R996" s="41">
        <v>562524.12</v>
      </c>
      <c r="S996" s="80"/>
      <c r="T996" s="81"/>
      <c r="U996" s="80"/>
      <c r="V996" s="80"/>
      <c r="W996" s="42"/>
      <c r="X996" s="42">
        <v>0</v>
      </c>
      <c r="Y996" s="34" t="s">
        <v>4321</v>
      </c>
      <c r="Z996" s="19" t="s">
        <v>7038</v>
      </c>
      <c r="AA996" s="28" t="s">
        <v>8450</v>
      </c>
      <c r="AB996" s="56">
        <v>43402</v>
      </c>
      <c r="AC996" s="28" t="s">
        <v>7882</v>
      </c>
      <c r="AD996" s="28" t="s">
        <v>7883</v>
      </c>
      <c r="AE996" s="54" t="s">
        <v>7886</v>
      </c>
      <c r="AF996" s="54"/>
      <c r="AG996" s="54" t="s">
        <v>7887</v>
      </c>
      <c r="AH996" s="53" t="s">
        <v>1591</v>
      </c>
      <c r="AI996" s="53" t="s">
        <v>2686</v>
      </c>
      <c r="AJ996" s="53" t="s">
        <v>1591</v>
      </c>
    </row>
    <row r="997" spans="1:36" s="3" customFormat="1" ht="96" x14ac:dyDescent="0.25">
      <c r="A997" s="17" t="s">
        <v>1450</v>
      </c>
      <c r="B997" s="18" t="s">
        <v>37</v>
      </c>
      <c r="C997" s="76"/>
      <c r="D997" s="43" t="s">
        <v>5321</v>
      </c>
      <c r="E997" s="78"/>
      <c r="F997" s="36" t="s">
        <v>5322</v>
      </c>
      <c r="G997" s="80"/>
      <c r="H997" s="80"/>
      <c r="I997" s="36" t="s">
        <v>5316</v>
      </c>
      <c r="J997" s="34" t="s">
        <v>5317</v>
      </c>
      <c r="K997" s="37" t="s">
        <v>593</v>
      </c>
      <c r="L997" s="38">
        <v>41624</v>
      </c>
      <c r="M997" s="39">
        <v>41804</v>
      </c>
      <c r="N997" s="42">
        <v>406445.15</v>
      </c>
      <c r="O997" s="85" t="s">
        <v>46</v>
      </c>
      <c r="P997" s="86">
        <v>41804</v>
      </c>
      <c r="Q997" s="41"/>
      <c r="R997" s="41">
        <v>406445.15</v>
      </c>
      <c r="S997" s="80"/>
      <c r="T997" s="81"/>
      <c r="U997" s="80"/>
      <c r="V997" s="80"/>
      <c r="W997" s="42"/>
      <c r="X997" s="42">
        <v>127145.12</v>
      </c>
      <c r="Y997" s="34" t="s">
        <v>4321</v>
      </c>
      <c r="Z997" s="19" t="s">
        <v>7038</v>
      </c>
      <c r="AA997" s="28" t="s">
        <v>8450</v>
      </c>
      <c r="AB997" s="56">
        <v>43402</v>
      </c>
      <c r="AC997" s="28" t="s">
        <v>7882</v>
      </c>
      <c r="AD997" s="28" t="s">
        <v>7883</v>
      </c>
      <c r="AE997" s="54" t="s">
        <v>7888</v>
      </c>
      <c r="AF997" s="54"/>
      <c r="AG997" s="54" t="s">
        <v>7889</v>
      </c>
      <c r="AH997" s="53" t="s">
        <v>1591</v>
      </c>
      <c r="AI997" s="53" t="s">
        <v>2686</v>
      </c>
      <c r="AJ997" s="53" t="s">
        <v>1591</v>
      </c>
    </row>
    <row r="998" spans="1:36" s="3" customFormat="1" ht="48" x14ac:dyDescent="0.25">
      <c r="A998" s="17" t="s">
        <v>1450</v>
      </c>
      <c r="B998" s="18" t="s">
        <v>37</v>
      </c>
      <c r="C998" s="76"/>
      <c r="D998" s="43" t="s">
        <v>5323</v>
      </c>
      <c r="E998" s="78"/>
      <c r="F998" s="36"/>
      <c r="G998" s="80"/>
      <c r="H998" s="80"/>
      <c r="I998" s="36" t="s">
        <v>5324</v>
      </c>
      <c r="J998" s="34" t="s">
        <v>5325</v>
      </c>
      <c r="K998" s="37" t="s">
        <v>5326</v>
      </c>
      <c r="L998" s="38">
        <v>41862</v>
      </c>
      <c r="M998" s="39">
        <v>42042</v>
      </c>
      <c r="N998" s="42">
        <v>346711.01</v>
      </c>
      <c r="O998" s="85" t="s">
        <v>46</v>
      </c>
      <c r="P998" s="86">
        <v>42042</v>
      </c>
      <c r="Q998" s="41"/>
      <c r="R998" s="41">
        <v>346711.01</v>
      </c>
      <c r="S998" s="80"/>
      <c r="T998" s="81"/>
      <c r="U998" s="80"/>
      <c r="V998" s="80"/>
      <c r="W998" s="42"/>
      <c r="X998" s="42">
        <v>315735.89</v>
      </c>
      <c r="Y998" s="34" t="s">
        <v>4321</v>
      </c>
      <c r="Z998" s="19" t="s">
        <v>7038</v>
      </c>
      <c r="AA998" s="28" t="s">
        <v>8450</v>
      </c>
      <c r="AB998" s="56">
        <v>43402</v>
      </c>
      <c r="AC998" s="28" t="s">
        <v>7882</v>
      </c>
      <c r="AD998" s="28" t="s">
        <v>7883</v>
      </c>
      <c r="AE998" s="54" t="s">
        <v>7890</v>
      </c>
      <c r="AF998" s="54"/>
      <c r="AG998" s="54" t="s">
        <v>7891</v>
      </c>
      <c r="AH998" s="53" t="s">
        <v>1591</v>
      </c>
      <c r="AI998" s="53" t="s">
        <v>2686</v>
      </c>
      <c r="AJ998" s="53" t="s">
        <v>1591</v>
      </c>
    </row>
    <row r="999" spans="1:36" s="3" customFormat="1" ht="48" x14ac:dyDescent="0.25">
      <c r="A999" s="17" t="s">
        <v>1450</v>
      </c>
      <c r="B999" s="18" t="s">
        <v>37</v>
      </c>
      <c r="C999" s="76"/>
      <c r="D999" s="43" t="s">
        <v>5327</v>
      </c>
      <c r="E999" s="78"/>
      <c r="F999" s="36"/>
      <c r="G999" s="80"/>
      <c r="H999" s="80"/>
      <c r="I999" s="36" t="s">
        <v>5324</v>
      </c>
      <c r="J999" s="34" t="s">
        <v>5325</v>
      </c>
      <c r="K999" s="37" t="s">
        <v>5328</v>
      </c>
      <c r="L999" s="38">
        <v>41816</v>
      </c>
      <c r="M999" s="39">
        <v>41996</v>
      </c>
      <c r="N999" s="42">
        <v>314160.65999999997</v>
      </c>
      <c r="O999" s="85" t="s">
        <v>46</v>
      </c>
      <c r="P999" s="86">
        <v>41996</v>
      </c>
      <c r="Q999" s="41"/>
      <c r="R999" s="41">
        <v>314160.65999999997</v>
      </c>
      <c r="S999" s="80"/>
      <c r="T999" s="81"/>
      <c r="U999" s="80"/>
      <c r="V999" s="80"/>
      <c r="W999" s="42"/>
      <c r="X999" s="42">
        <v>84481.36</v>
      </c>
      <c r="Y999" s="34" t="s">
        <v>4321</v>
      </c>
      <c r="Z999" s="19" t="s">
        <v>7038</v>
      </c>
      <c r="AA999" s="28" t="s">
        <v>8450</v>
      </c>
      <c r="AB999" s="56">
        <v>43402</v>
      </c>
      <c r="AC999" s="28" t="s">
        <v>7882</v>
      </c>
      <c r="AD999" s="28" t="s">
        <v>7883</v>
      </c>
      <c r="AE999" s="54" t="s">
        <v>7890</v>
      </c>
      <c r="AF999" s="54"/>
      <c r="AG999" s="54" t="s">
        <v>7891</v>
      </c>
      <c r="AH999" s="53" t="s">
        <v>1591</v>
      </c>
      <c r="AI999" s="53" t="s">
        <v>2686</v>
      </c>
      <c r="AJ999" s="53" t="s">
        <v>1591</v>
      </c>
    </row>
    <row r="1000" spans="1:36" s="3" customFormat="1" ht="60" x14ac:dyDescent="0.25">
      <c r="A1000" s="35" t="s">
        <v>2793</v>
      </c>
      <c r="B1000" s="18" t="s">
        <v>37</v>
      </c>
      <c r="C1000" s="76" t="s">
        <v>5431</v>
      </c>
      <c r="D1000" s="45" t="s">
        <v>5432</v>
      </c>
      <c r="E1000" s="78"/>
      <c r="F1000" s="79"/>
      <c r="G1000" s="80"/>
      <c r="H1000" s="80"/>
      <c r="I1000" s="78" t="s">
        <v>63</v>
      </c>
      <c r="J1000" s="79" t="s">
        <v>167</v>
      </c>
      <c r="K1000" s="81" t="s">
        <v>5433</v>
      </c>
      <c r="L1000" s="82">
        <v>40680</v>
      </c>
      <c r="M1000" s="83">
        <v>41075</v>
      </c>
      <c r="N1000" s="80" t="s">
        <v>5434</v>
      </c>
      <c r="O1000" s="82"/>
      <c r="P1000" s="84" t="s">
        <v>5435</v>
      </c>
      <c r="Q1000" s="80"/>
      <c r="R1000" s="80">
        <v>68820715.030000001</v>
      </c>
      <c r="S1000" s="80">
        <v>7353808.96</v>
      </c>
      <c r="T1000" s="81" t="s">
        <v>45</v>
      </c>
      <c r="U1000" s="80">
        <v>4544328.88</v>
      </c>
      <c r="V1000" s="80"/>
      <c r="W1000" s="80"/>
      <c r="X1000" s="80">
        <v>60387611.280000001</v>
      </c>
      <c r="Y1000" s="76" t="s">
        <v>468</v>
      </c>
      <c r="Z1000" s="19" t="s">
        <v>7038</v>
      </c>
      <c r="AA1000" s="28" t="s">
        <v>7892</v>
      </c>
      <c r="AB1000" s="56">
        <v>43433</v>
      </c>
      <c r="AC1000" s="28" t="s">
        <v>7893</v>
      </c>
      <c r="AD1000" s="28" t="s">
        <v>7894</v>
      </c>
      <c r="AE1000" s="54"/>
      <c r="AF1000" s="54"/>
      <c r="AG1000" s="54"/>
      <c r="AH1000" s="53"/>
      <c r="AI1000" s="53" t="s">
        <v>1591</v>
      </c>
      <c r="AJ1000" s="53" t="s">
        <v>1591</v>
      </c>
    </row>
    <row r="1001" spans="1:36" s="3" customFormat="1" ht="60" x14ac:dyDescent="0.25">
      <c r="A1001" s="35" t="s">
        <v>2793</v>
      </c>
      <c r="B1001" s="18" t="s">
        <v>37</v>
      </c>
      <c r="C1001" s="76" t="s">
        <v>5357</v>
      </c>
      <c r="D1001" s="45" t="s">
        <v>5358</v>
      </c>
      <c r="E1001" s="78"/>
      <c r="F1001" s="79"/>
      <c r="G1001" s="80"/>
      <c r="H1001" s="80"/>
      <c r="I1001" s="78" t="s">
        <v>262</v>
      </c>
      <c r="J1001" s="79" t="s">
        <v>5359</v>
      </c>
      <c r="K1001" s="81" t="s">
        <v>5360</v>
      </c>
      <c r="L1001" s="82">
        <v>41499</v>
      </c>
      <c r="M1001" s="83">
        <v>41769</v>
      </c>
      <c r="N1001" s="80">
        <v>22949316.530000001</v>
      </c>
      <c r="O1001" s="82" t="s">
        <v>5340</v>
      </c>
      <c r="P1001" s="84" t="s">
        <v>5361</v>
      </c>
      <c r="Q1001" s="80">
        <v>4594764.8499999996</v>
      </c>
      <c r="R1001" s="80">
        <v>27544081.380000003</v>
      </c>
      <c r="S1001" s="80" t="s">
        <v>5346</v>
      </c>
      <c r="T1001" s="81" t="s">
        <v>448</v>
      </c>
      <c r="U1001" s="80">
        <v>202839.5</v>
      </c>
      <c r="V1001" s="80"/>
      <c r="W1001" s="80"/>
      <c r="X1001" s="80">
        <v>11127463.5</v>
      </c>
      <c r="Y1001" s="76" t="s">
        <v>175</v>
      </c>
      <c r="Z1001" s="19" t="s">
        <v>7038</v>
      </c>
      <c r="AA1001" s="28" t="s">
        <v>7892</v>
      </c>
      <c r="AB1001" s="56">
        <v>43433</v>
      </c>
      <c r="AC1001" s="28" t="s">
        <v>7893</v>
      </c>
      <c r="AD1001" s="28" t="s">
        <v>7894</v>
      </c>
      <c r="AE1001" s="54" t="s">
        <v>7895</v>
      </c>
      <c r="AF1001" s="54"/>
      <c r="AG1001" s="54" t="s">
        <v>7896</v>
      </c>
      <c r="AH1001" s="53" t="s">
        <v>1591</v>
      </c>
      <c r="AI1001" s="53" t="s">
        <v>2686</v>
      </c>
      <c r="AJ1001" s="53" t="s">
        <v>1591</v>
      </c>
    </row>
    <row r="1002" spans="1:36" s="3" customFormat="1" ht="24" x14ac:dyDescent="0.25">
      <c r="A1002" s="17" t="s">
        <v>2793</v>
      </c>
      <c r="B1002" s="18" t="s">
        <v>37</v>
      </c>
      <c r="C1002" s="19" t="s">
        <v>3036</v>
      </c>
      <c r="D1002" s="45"/>
      <c r="E1002" s="50" t="s">
        <v>3214</v>
      </c>
      <c r="F1002" s="58" t="s">
        <v>611</v>
      </c>
      <c r="G1002" s="51"/>
      <c r="H1002" s="51"/>
      <c r="I1002" s="50" t="s">
        <v>2098</v>
      </c>
      <c r="J1002" s="58" t="s">
        <v>2520</v>
      </c>
      <c r="K1002" s="52" t="s">
        <v>3214</v>
      </c>
      <c r="L1002" s="59">
        <v>42905</v>
      </c>
      <c r="M1002" s="60">
        <v>42905</v>
      </c>
      <c r="N1002" s="51">
        <v>14645041.91</v>
      </c>
      <c r="O1002" s="59" t="s">
        <v>180</v>
      </c>
      <c r="P1002" s="59">
        <f>M1002+365</f>
        <v>43270</v>
      </c>
      <c r="Q1002" s="51"/>
      <c r="R1002" s="51">
        <f>N1002+Q1002</f>
        <v>14645041.91</v>
      </c>
      <c r="S1002" s="51" t="s">
        <v>180</v>
      </c>
      <c r="T1002" s="52" t="s">
        <v>40</v>
      </c>
      <c r="U1002" s="51">
        <v>0</v>
      </c>
      <c r="V1002" s="51">
        <v>0</v>
      </c>
      <c r="W1002" s="51">
        <v>0</v>
      </c>
      <c r="X1002" s="51">
        <v>0</v>
      </c>
      <c r="Y1002" s="19" t="s">
        <v>175</v>
      </c>
      <c r="Z1002" s="19" t="s">
        <v>4310</v>
      </c>
      <c r="AA1002" s="28" t="s">
        <v>7892</v>
      </c>
      <c r="AB1002" s="56">
        <v>43433</v>
      </c>
      <c r="AC1002" s="28" t="s">
        <v>7893</v>
      </c>
      <c r="AD1002" s="28" t="s">
        <v>7894</v>
      </c>
      <c r="AE1002" s="54"/>
      <c r="AF1002" s="54"/>
      <c r="AG1002" s="54"/>
      <c r="AH1002" s="53"/>
      <c r="AI1002" s="53" t="s">
        <v>1591</v>
      </c>
      <c r="AJ1002" s="53" t="s">
        <v>1591</v>
      </c>
    </row>
    <row r="1003" spans="1:36" s="3" customFormat="1" ht="84" x14ac:dyDescent="0.25">
      <c r="A1003" s="35" t="s">
        <v>2793</v>
      </c>
      <c r="B1003" s="18" t="s">
        <v>37</v>
      </c>
      <c r="C1003" s="76" t="s">
        <v>5393</v>
      </c>
      <c r="D1003" s="43" t="s">
        <v>5394</v>
      </c>
      <c r="E1003" s="78" t="s">
        <v>5401</v>
      </c>
      <c r="F1003" s="36" t="s">
        <v>5402</v>
      </c>
      <c r="G1003" s="80">
        <v>13528289.300000001</v>
      </c>
      <c r="H1003" s="80">
        <v>1710.7</v>
      </c>
      <c r="I1003" s="36" t="s">
        <v>63</v>
      </c>
      <c r="J1003" s="34" t="s">
        <v>5397</v>
      </c>
      <c r="K1003" s="37" t="s">
        <v>5403</v>
      </c>
      <c r="L1003" s="38">
        <v>41487</v>
      </c>
      <c r="M1003" s="39">
        <v>41639</v>
      </c>
      <c r="N1003" s="42">
        <v>13530000</v>
      </c>
      <c r="O1003" s="85" t="s">
        <v>5404</v>
      </c>
      <c r="P1003" s="86"/>
      <c r="Q1003" s="41"/>
      <c r="R1003" s="80">
        <v>13530000</v>
      </c>
      <c r="S1003" s="80">
        <v>273426.58</v>
      </c>
      <c r="T1003" s="81" t="s">
        <v>52</v>
      </c>
      <c r="U1003" s="80">
        <v>1456677.03</v>
      </c>
      <c r="V1003" s="80"/>
      <c r="W1003" s="42"/>
      <c r="X1003" s="42">
        <v>2696258.79</v>
      </c>
      <c r="Y1003" s="34" t="s">
        <v>5400</v>
      </c>
      <c r="Z1003" s="19" t="s">
        <v>7038</v>
      </c>
      <c r="AA1003" s="28" t="s">
        <v>7892</v>
      </c>
      <c r="AB1003" s="56">
        <v>43433</v>
      </c>
      <c r="AC1003" s="28" t="s">
        <v>7893</v>
      </c>
      <c r="AD1003" s="28" t="s">
        <v>7894</v>
      </c>
      <c r="AE1003" s="54" t="s">
        <v>7897</v>
      </c>
      <c r="AF1003" s="54"/>
      <c r="AG1003" s="54" t="s">
        <v>7898</v>
      </c>
      <c r="AH1003" s="53" t="s">
        <v>1591</v>
      </c>
      <c r="AI1003" s="53" t="s">
        <v>2686</v>
      </c>
      <c r="AJ1003" s="53" t="s">
        <v>1591</v>
      </c>
    </row>
    <row r="1004" spans="1:36" s="3" customFormat="1" ht="48" x14ac:dyDescent="0.25">
      <c r="A1004" s="35" t="s">
        <v>2793</v>
      </c>
      <c r="B1004" s="18" t="s">
        <v>37</v>
      </c>
      <c r="C1004" s="76" t="s">
        <v>5462</v>
      </c>
      <c r="D1004" s="45" t="s">
        <v>5463</v>
      </c>
      <c r="E1004" s="78"/>
      <c r="F1004" s="79"/>
      <c r="G1004" s="80"/>
      <c r="H1004" s="80"/>
      <c r="I1004" s="78" t="s">
        <v>522</v>
      </c>
      <c r="J1004" s="79" t="s">
        <v>5464</v>
      </c>
      <c r="K1004" s="81" t="s">
        <v>5465</v>
      </c>
      <c r="L1004" s="82">
        <v>42593</v>
      </c>
      <c r="M1004" s="83">
        <v>42713</v>
      </c>
      <c r="N1004" s="80">
        <v>11581838.34</v>
      </c>
      <c r="O1004" s="82"/>
      <c r="P1004" s="84"/>
      <c r="Q1004" s="80"/>
      <c r="R1004" s="80">
        <v>11581838.34</v>
      </c>
      <c r="S1004" s="80" t="s">
        <v>2104</v>
      </c>
      <c r="T1004" s="81" t="s">
        <v>45</v>
      </c>
      <c r="U1004" s="80">
        <v>307116.21999999997</v>
      </c>
      <c r="V1004" s="80"/>
      <c r="W1004" s="80"/>
      <c r="X1004" s="80"/>
      <c r="Y1004" s="76" t="s">
        <v>175</v>
      </c>
      <c r="Z1004" s="19" t="s">
        <v>7038</v>
      </c>
      <c r="AA1004" s="28" t="s">
        <v>7892</v>
      </c>
      <c r="AB1004" s="56">
        <v>43433</v>
      </c>
      <c r="AC1004" s="28" t="s">
        <v>7893</v>
      </c>
      <c r="AD1004" s="28" t="s">
        <v>7894</v>
      </c>
      <c r="AE1004" s="54" t="s">
        <v>7899</v>
      </c>
      <c r="AF1004" s="54"/>
      <c r="AG1004" s="54" t="s">
        <v>7900</v>
      </c>
      <c r="AH1004" s="53" t="s">
        <v>1591</v>
      </c>
      <c r="AI1004" s="53" t="s">
        <v>2686</v>
      </c>
      <c r="AJ1004" s="53" t="s">
        <v>1591</v>
      </c>
    </row>
    <row r="1005" spans="1:36" s="3" customFormat="1" ht="84" x14ac:dyDescent="0.25">
      <c r="A1005" s="35" t="s">
        <v>2793</v>
      </c>
      <c r="B1005" s="18" t="s">
        <v>37</v>
      </c>
      <c r="C1005" s="76" t="s">
        <v>5393</v>
      </c>
      <c r="D1005" s="45" t="s">
        <v>5394</v>
      </c>
      <c r="E1005" s="78" t="s">
        <v>5395</v>
      </c>
      <c r="F1005" s="79" t="s">
        <v>5396</v>
      </c>
      <c r="G1005" s="80">
        <v>10000000</v>
      </c>
      <c r="H1005" s="80">
        <v>1148410.19</v>
      </c>
      <c r="I1005" s="78" t="s">
        <v>63</v>
      </c>
      <c r="J1005" s="79" t="s">
        <v>5397</v>
      </c>
      <c r="K1005" s="81" t="s">
        <v>5398</v>
      </c>
      <c r="L1005" s="82">
        <v>40725</v>
      </c>
      <c r="M1005" s="83">
        <v>41055</v>
      </c>
      <c r="N1005" s="80">
        <v>11148410.189999999</v>
      </c>
      <c r="O1005" s="82" t="s">
        <v>5399</v>
      </c>
      <c r="P1005" s="84"/>
      <c r="Q1005" s="80"/>
      <c r="R1005" s="80">
        <v>11148410.189999999</v>
      </c>
      <c r="S1005" s="80">
        <v>444605.89</v>
      </c>
      <c r="T1005" s="81" t="s">
        <v>52</v>
      </c>
      <c r="U1005" s="80">
        <v>1365136.87</v>
      </c>
      <c r="V1005" s="80"/>
      <c r="W1005" s="80"/>
      <c r="X1005" s="80">
        <v>6421124.8399999999</v>
      </c>
      <c r="Y1005" s="76" t="s">
        <v>5400</v>
      </c>
      <c r="Z1005" s="19" t="s">
        <v>7038</v>
      </c>
      <c r="AA1005" s="28" t="s">
        <v>7892</v>
      </c>
      <c r="AB1005" s="56">
        <v>43433</v>
      </c>
      <c r="AC1005" s="28" t="s">
        <v>7893</v>
      </c>
      <c r="AD1005" s="28" t="s">
        <v>7894</v>
      </c>
      <c r="AE1005" s="54" t="s">
        <v>7897</v>
      </c>
      <c r="AF1005" s="54"/>
      <c r="AG1005" s="54" t="s">
        <v>7898</v>
      </c>
      <c r="AH1005" s="53" t="s">
        <v>1591</v>
      </c>
      <c r="AI1005" s="53" t="s">
        <v>2686</v>
      </c>
      <c r="AJ1005" s="53" t="s">
        <v>1591</v>
      </c>
    </row>
    <row r="1006" spans="1:36" s="3" customFormat="1" ht="120" x14ac:dyDescent="0.25">
      <c r="A1006" s="35" t="s">
        <v>2793</v>
      </c>
      <c r="B1006" s="18" t="s">
        <v>37</v>
      </c>
      <c r="C1006" s="76" t="s">
        <v>5334</v>
      </c>
      <c r="D1006" s="45" t="s">
        <v>5335</v>
      </c>
      <c r="E1006" s="78" t="s">
        <v>5336</v>
      </c>
      <c r="F1006" s="79" t="s">
        <v>5337</v>
      </c>
      <c r="G1006" s="80">
        <v>6458029.9299999997</v>
      </c>
      <c r="H1006" s="80">
        <v>2251408.73</v>
      </c>
      <c r="I1006" s="78" t="s">
        <v>483</v>
      </c>
      <c r="J1006" s="79" t="s">
        <v>5338</v>
      </c>
      <c r="K1006" s="81" t="s">
        <v>577</v>
      </c>
      <c r="L1006" s="82">
        <v>40984</v>
      </c>
      <c r="M1006" s="83">
        <v>41344</v>
      </c>
      <c r="N1006" s="80">
        <v>8709438.6600000001</v>
      </c>
      <c r="O1006" s="82"/>
      <c r="P1006" s="84">
        <v>420</v>
      </c>
      <c r="Q1006" s="80">
        <v>2287761.0099999998</v>
      </c>
      <c r="R1006" s="80">
        <v>10997199.67</v>
      </c>
      <c r="S1006" s="80"/>
      <c r="T1006" s="81">
        <v>449051</v>
      </c>
      <c r="U1006" s="80">
        <v>2844188.09</v>
      </c>
      <c r="V1006" s="80"/>
      <c r="W1006" s="80"/>
      <c r="X1006" s="80">
        <v>6386554.7000000002</v>
      </c>
      <c r="Y1006" s="76" t="s">
        <v>2880</v>
      </c>
      <c r="Z1006" s="19" t="s">
        <v>7038</v>
      </c>
      <c r="AA1006" s="28" t="s">
        <v>7892</v>
      </c>
      <c r="AB1006" s="56">
        <v>43433</v>
      </c>
      <c r="AC1006" s="28" t="s">
        <v>7893</v>
      </c>
      <c r="AD1006" s="28" t="s">
        <v>7894</v>
      </c>
      <c r="AE1006" s="54"/>
      <c r="AF1006" s="54"/>
      <c r="AG1006" s="54"/>
      <c r="AH1006" s="53"/>
      <c r="AI1006" s="53" t="s">
        <v>1591</v>
      </c>
      <c r="AJ1006" s="53" t="s">
        <v>1591</v>
      </c>
    </row>
    <row r="1007" spans="1:36" s="3" customFormat="1" ht="60" x14ac:dyDescent="0.25">
      <c r="A1007" s="35" t="s">
        <v>2793</v>
      </c>
      <c r="B1007" s="18" t="s">
        <v>37</v>
      </c>
      <c r="C1007" s="76" t="s">
        <v>5418</v>
      </c>
      <c r="D1007" s="43" t="s">
        <v>5422</v>
      </c>
      <c r="E1007" s="78" t="s">
        <v>5419</v>
      </c>
      <c r="F1007" s="36" t="s">
        <v>5412</v>
      </c>
      <c r="G1007" s="80" t="s">
        <v>5420</v>
      </c>
      <c r="H1007" s="80" t="s">
        <v>5421</v>
      </c>
      <c r="I1007" s="36" t="s">
        <v>1353</v>
      </c>
      <c r="J1007" s="34" t="s">
        <v>5423</v>
      </c>
      <c r="K1007" s="37" t="s">
        <v>5424</v>
      </c>
      <c r="L1007" s="38">
        <v>41556</v>
      </c>
      <c r="M1007" s="39">
        <v>42006</v>
      </c>
      <c r="N1007" s="42" t="s">
        <v>5425</v>
      </c>
      <c r="O1007" s="85"/>
      <c r="P1007" s="86" t="s">
        <v>2719</v>
      </c>
      <c r="Q1007" s="41"/>
      <c r="R1007" s="80">
        <v>10298756.539999999</v>
      </c>
      <c r="S1007" s="80" t="s">
        <v>2104</v>
      </c>
      <c r="T1007" s="81" t="s">
        <v>52</v>
      </c>
      <c r="U1007" s="80"/>
      <c r="V1007" s="80"/>
      <c r="W1007" s="42"/>
      <c r="X1007" s="42">
        <v>220069.89</v>
      </c>
      <c r="Y1007" s="34" t="s">
        <v>5426</v>
      </c>
      <c r="Z1007" s="19" t="s">
        <v>7038</v>
      </c>
      <c r="AA1007" s="28" t="s">
        <v>7892</v>
      </c>
      <c r="AB1007" s="56">
        <v>43433</v>
      </c>
      <c r="AC1007" s="28" t="s">
        <v>7893</v>
      </c>
      <c r="AD1007" s="28" t="s">
        <v>7894</v>
      </c>
      <c r="AE1007" s="54" t="s">
        <v>7901</v>
      </c>
      <c r="AF1007" s="54"/>
      <c r="AG1007" s="54" t="s">
        <v>7902</v>
      </c>
      <c r="AH1007" s="53" t="s">
        <v>1591</v>
      </c>
      <c r="AI1007" s="53" t="s">
        <v>2686</v>
      </c>
      <c r="AJ1007" s="53" t="s">
        <v>1591</v>
      </c>
    </row>
    <row r="1008" spans="1:36" s="3" customFormat="1" ht="72" x14ac:dyDescent="0.25">
      <c r="A1008" s="35" t="s">
        <v>2793</v>
      </c>
      <c r="B1008" s="18" t="s">
        <v>37</v>
      </c>
      <c r="C1008" s="76" t="s">
        <v>5409</v>
      </c>
      <c r="D1008" s="45" t="s">
        <v>5410</v>
      </c>
      <c r="E1008" s="78" t="s">
        <v>5411</v>
      </c>
      <c r="F1008" s="79" t="s">
        <v>5412</v>
      </c>
      <c r="G1008" s="80">
        <v>6676974.3499999996</v>
      </c>
      <c r="H1008" s="80" t="s">
        <v>5413</v>
      </c>
      <c r="I1008" s="78" t="s">
        <v>5414</v>
      </c>
      <c r="J1008" s="79" t="s">
        <v>5415</v>
      </c>
      <c r="K1008" s="81" t="s">
        <v>5416</v>
      </c>
      <c r="L1008" s="82">
        <v>41235</v>
      </c>
      <c r="M1008" s="83">
        <v>41475</v>
      </c>
      <c r="N1008" s="80" t="s">
        <v>5417</v>
      </c>
      <c r="O1008" s="82"/>
      <c r="P1008" s="84" t="s">
        <v>2881</v>
      </c>
      <c r="Q1008" s="80"/>
      <c r="R1008" s="80">
        <v>7466368.6399999997</v>
      </c>
      <c r="S1008" s="80">
        <v>59370.57</v>
      </c>
      <c r="T1008" s="81" t="s">
        <v>52</v>
      </c>
      <c r="U1008" s="80">
        <v>150282.35</v>
      </c>
      <c r="V1008" s="80"/>
      <c r="W1008" s="80"/>
      <c r="X1008" s="80">
        <v>3502969.08</v>
      </c>
      <c r="Y1008" s="76" t="s">
        <v>5400</v>
      </c>
      <c r="Z1008" s="19" t="s">
        <v>7038</v>
      </c>
      <c r="AA1008" s="28" t="s">
        <v>7892</v>
      </c>
      <c r="AB1008" s="56">
        <v>43433</v>
      </c>
      <c r="AC1008" s="28" t="s">
        <v>7893</v>
      </c>
      <c r="AD1008" s="28" t="s">
        <v>7894</v>
      </c>
      <c r="AE1008" s="54" t="s">
        <v>7903</v>
      </c>
      <c r="AF1008" s="54"/>
      <c r="AG1008" s="54" t="s">
        <v>330</v>
      </c>
      <c r="AH1008" s="53" t="s">
        <v>39</v>
      </c>
      <c r="AI1008" s="53" t="s">
        <v>2686</v>
      </c>
      <c r="AJ1008" s="53" t="s">
        <v>1591</v>
      </c>
    </row>
    <row r="1009" spans="1:36" s="3" customFormat="1" ht="60" x14ac:dyDescent="0.25">
      <c r="A1009" s="35" t="s">
        <v>2793</v>
      </c>
      <c r="B1009" s="18" t="s">
        <v>37</v>
      </c>
      <c r="C1009" s="76" t="s">
        <v>5362</v>
      </c>
      <c r="D1009" s="45" t="s">
        <v>5363</v>
      </c>
      <c r="E1009" s="78"/>
      <c r="F1009" s="79"/>
      <c r="G1009" s="80"/>
      <c r="H1009" s="80"/>
      <c r="I1009" s="78" t="s">
        <v>641</v>
      </c>
      <c r="J1009" s="79" t="s">
        <v>5364</v>
      </c>
      <c r="K1009" s="81" t="s">
        <v>5365</v>
      </c>
      <c r="L1009" s="82">
        <v>42551</v>
      </c>
      <c r="M1009" s="83">
        <v>42731</v>
      </c>
      <c r="N1009" s="80">
        <v>6329816.2300000004</v>
      </c>
      <c r="O1009" s="82" t="s">
        <v>5340</v>
      </c>
      <c r="P1009" s="84" t="s">
        <v>5366</v>
      </c>
      <c r="Q1009" s="80">
        <v>212787.85</v>
      </c>
      <c r="R1009" s="80">
        <v>6542604.0800000001</v>
      </c>
      <c r="S1009" s="80" t="s">
        <v>5340</v>
      </c>
      <c r="T1009" s="81" t="s">
        <v>45</v>
      </c>
      <c r="U1009" s="80">
        <v>890154.95</v>
      </c>
      <c r="V1009" s="80"/>
      <c r="W1009" s="80"/>
      <c r="X1009" s="80">
        <v>776413.86</v>
      </c>
      <c r="Y1009" s="76" t="s">
        <v>175</v>
      </c>
      <c r="Z1009" s="19" t="s">
        <v>7038</v>
      </c>
      <c r="AA1009" s="28" t="s">
        <v>7892</v>
      </c>
      <c r="AB1009" s="56">
        <v>43433</v>
      </c>
      <c r="AC1009" s="28" t="s">
        <v>7893</v>
      </c>
      <c r="AD1009" s="28" t="s">
        <v>7894</v>
      </c>
      <c r="AE1009" s="54" t="s">
        <v>7904</v>
      </c>
      <c r="AF1009" s="54"/>
      <c r="AG1009" s="54" t="s">
        <v>992</v>
      </c>
      <c r="AH1009" s="53" t="s">
        <v>1591</v>
      </c>
      <c r="AI1009" s="53" t="s">
        <v>2686</v>
      </c>
      <c r="AJ1009" s="53" t="s">
        <v>1591</v>
      </c>
    </row>
    <row r="1010" spans="1:36" s="3" customFormat="1" ht="108" x14ac:dyDescent="0.25">
      <c r="A1010" s="35" t="s">
        <v>2793</v>
      </c>
      <c r="B1010" s="18" t="s">
        <v>37</v>
      </c>
      <c r="C1010" s="76" t="s">
        <v>5378</v>
      </c>
      <c r="D1010" s="43" t="s">
        <v>5383</v>
      </c>
      <c r="E1010" s="78"/>
      <c r="F1010" s="36"/>
      <c r="G1010" s="80"/>
      <c r="H1010" s="80"/>
      <c r="I1010" s="36" t="s">
        <v>295</v>
      </c>
      <c r="J1010" s="34" t="s">
        <v>5384</v>
      </c>
      <c r="K1010" s="37" t="s">
        <v>5385</v>
      </c>
      <c r="L1010" s="38">
        <v>42124</v>
      </c>
      <c r="M1010" s="83">
        <v>42489</v>
      </c>
      <c r="N1010" s="42">
        <v>4441290.13</v>
      </c>
      <c r="O1010" s="85">
        <v>42699</v>
      </c>
      <c r="P1010" s="86" t="s">
        <v>5346</v>
      </c>
      <c r="Q1010" s="41">
        <v>786304.24</v>
      </c>
      <c r="R1010" s="80">
        <v>5227594.37</v>
      </c>
      <c r="S1010" s="80" t="s">
        <v>5346</v>
      </c>
      <c r="T1010" s="81" t="s">
        <v>5386</v>
      </c>
      <c r="U1010" s="80">
        <v>3224013.81</v>
      </c>
      <c r="V1010" s="80"/>
      <c r="W1010" s="42"/>
      <c r="X1010" s="42">
        <v>4870715.5999999996</v>
      </c>
      <c r="Y1010" s="34" t="s">
        <v>637</v>
      </c>
      <c r="Z1010" s="19" t="s">
        <v>7038</v>
      </c>
      <c r="AA1010" s="28" t="s">
        <v>7892</v>
      </c>
      <c r="AB1010" s="56">
        <v>43433</v>
      </c>
      <c r="AC1010" s="28" t="s">
        <v>7893</v>
      </c>
      <c r="AD1010" s="28" t="s">
        <v>7894</v>
      </c>
      <c r="AE1010" s="54" t="s">
        <v>7905</v>
      </c>
      <c r="AF1010" s="54"/>
      <c r="AG1010" s="54" t="s">
        <v>149</v>
      </c>
      <c r="AH1010" s="53" t="s">
        <v>1591</v>
      </c>
      <c r="AI1010" s="53" t="s">
        <v>2686</v>
      </c>
      <c r="AJ1010" s="53" t="s">
        <v>1591</v>
      </c>
    </row>
    <row r="1011" spans="1:36" s="3" customFormat="1" ht="60" x14ac:dyDescent="0.25">
      <c r="A1011" s="35" t="s">
        <v>2793</v>
      </c>
      <c r="B1011" s="18" t="s">
        <v>37</v>
      </c>
      <c r="C1011" s="76" t="s">
        <v>5390</v>
      </c>
      <c r="D1011" s="45" t="s">
        <v>5391</v>
      </c>
      <c r="E1011" s="78"/>
      <c r="F1011" s="79"/>
      <c r="G1011" s="80"/>
      <c r="H1011" s="80"/>
      <c r="I1011" s="78" t="s">
        <v>526</v>
      </c>
      <c r="J1011" s="79" t="s">
        <v>5369</v>
      </c>
      <c r="K1011" s="81" t="s">
        <v>5392</v>
      </c>
      <c r="L1011" s="82">
        <v>42212</v>
      </c>
      <c r="M1011" s="83">
        <v>42392</v>
      </c>
      <c r="N1011" s="80">
        <v>4773716.5199999996</v>
      </c>
      <c r="O1011" s="82">
        <v>42224</v>
      </c>
      <c r="P1011" s="84" t="s">
        <v>5346</v>
      </c>
      <c r="Q1011" s="80"/>
      <c r="R1011" s="80">
        <v>4773716.5199999996</v>
      </c>
      <c r="S1011" s="80" t="s">
        <v>5346</v>
      </c>
      <c r="T1011" s="81" t="s">
        <v>45</v>
      </c>
      <c r="U1011" s="80"/>
      <c r="V1011" s="80"/>
      <c r="W1011" s="80"/>
      <c r="X1011" s="80"/>
      <c r="Y1011" s="76" t="s">
        <v>637</v>
      </c>
      <c r="Z1011" s="19" t="s">
        <v>7038</v>
      </c>
      <c r="AA1011" s="28" t="s">
        <v>7892</v>
      </c>
      <c r="AB1011" s="56">
        <v>43433</v>
      </c>
      <c r="AC1011" s="28" t="s">
        <v>7893</v>
      </c>
      <c r="AD1011" s="28" t="s">
        <v>7894</v>
      </c>
      <c r="AE1011" s="54" t="s">
        <v>7906</v>
      </c>
      <c r="AF1011" s="54"/>
      <c r="AG1011" s="54" t="s">
        <v>7907</v>
      </c>
      <c r="AH1011" s="53" t="s">
        <v>1591</v>
      </c>
      <c r="AI1011" s="53" t="s">
        <v>2686</v>
      </c>
      <c r="AJ1011" s="53" t="s">
        <v>1591</v>
      </c>
    </row>
    <row r="1012" spans="1:36" s="3" customFormat="1" ht="96" x14ac:dyDescent="0.25">
      <c r="A1012" s="17" t="s">
        <v>2793</v>
      </c>
      <c r="B1012" s="18" t="s">
        <v>37</v>
      </c>
      <c r="C1012" s="19" t="s">
        <v>613</v>
      </c>
      <c r="D1012" s="45" t="s">
        <v>614</v>
      </c>
      <c r="E1012" s="50" t="s">
        <v>615</v>
      </c>
      <c r="F1012" s="58" t="s">
        <v>611</v>
      </c>
      <c r="G1012" s="51"/>
      <c r="H1012" s="51"/>
      <c r="I1012" s="50" t="s">
        <v>616</v>
      </c>
      <c r="J1012" s="58" t="s">
        <v>617</v>
      </c>
      <c r="K1012" s="52" t="s">
        <v>615</v>
      </c>
      <c r="L1012" s="59">
        <v>40952</v>
      </c>
      <c r="M1012" s="60">
        <f>L1012+365</f>
        <v>41317</v>
      </c>
      <c r="N1012" s="51">
        <v>4327120.8899999997</v>
      </c>
      <c r="O1012" s="59" t="s">
        <v>180</v>
      </c>
      <c r="P1012" s="59">
        <f>M1012+365</f>
        <v>41682</v>
      </c>
      <c r="Q1012" s="51"/>
      <c r="R1012" s="51">
        <f>N1012+Q1012</f>
        <v>4327120.8899999997</v>
      </c>
      <c r="S1012" s="51" t="s">
        <v>180</v>
      </c>
      <c r="T1012" s="52" t="s">
        <v>81</v>
      </c>
      <c r="U1012" s="51">
        <v>3948255.9</v>
      </c>
      <c r="V1012" s="51">
        <v>427257.63</v>
      </c>
      <c r="W1012" s="51">
        <v>767351.73</v>
      </c>
      <c r="X1012" s="51">
        <v>767351.73</v>
      </c>
      <c r="Y1012" s="19" t="s">
        <v>1523</v>
      </c>
      <c r="Z1012" s="19"/>
      <c r="AA1012" s="28" t="s">
        <v>7892</v>
      </c>
      <c r="AB1012" s="56">
        <v>43433</v>
      </c>
      <c r="AC1012" s="28" t="s">
        <v>7893</v>
      </c>
      <c r="AD1012" s="28" t="s">
        <v>7894</v>
      </c>
      <c r="AE1012" s="54" t="s">
        <v>7908</v>
      </c>
      <c r="AF1012" s="54"/>
      <c r="AG1012" s="54" t="s">
        <v>7909</v>
      </c>
      <c r="AH1012" s="53" t="s">
        <v>1591</v>
      </c>
      <c r="AI1012" s="53" t="s">
        <v>2686</v>
      </c>
      <c r="AJ1012" s="53" t="s">
        <v>1591</v>
      </c>
    </row>
    <row r="1013" spans="1:36" s="3" customFormat="1" ht="72" x14ac:dyDescent="0.25">
      <c r="A1013" s="17" t="s">
        <v>2793</v>
      </c>
      <c r="B1013" s="18" t="s">
        <v>37</v>
      </c>
      <c r="C1013" s="19" t="s">
        <v>629</v>
      </c>
      <c r="D1013" s="45" t="s">
        <v>630</v>
      </c>
      <c r="E1013" s="50" t="s">
        <v>631</v>
      </c>
      <c r="F1013" s="58" t="s">
        <v>611</v>
      </c>
      <c r="G1013" s="51"/>
      <c r="H1013" s="51"/>
      <c r="I1013" s="50" t="s">
        <v>537</v>
      </c>
      <c r="J1013" s="58" t="s">
        <v>632</v>
      </c>
      <c r="K1013" s="52" t="s">
        <v>631</v>
      </c>
      <c r="L1013" s="59">
        <v>41001</v>
      </c>
      <c r="M1013" s="60">
        <v>41365</v>
      </c>
      <c r="N1013" s="51">
        <v>3777392.88</v>
      </c>
      <c r="O1013" s="59" t="s">
        <v>180</v>
      </c>
      <c r="P1013" s="59">
        <f>M1013+365</f>
        <v>41730</v>
      </c>
      <c r="Q1013" s="51"/>
      <c r="R1013" s="51">
        <f>N1013+Q1013</f>
        <v>3777392.88</v>
      </c>
      <c r="S1013" s="51" t="s">
        <v>180</v>
      </c>
      <c r="T1013" s="52" t="s">
        <v>40</v>
      </c>
      <c r="U1013" s="51"/>
      <c r="V1013" s="51"/>
      <c r="W1013" s="51">
        <v>0</v>
      </c>
      <c r="X1013" s="51">
        <v>0</v>
      </c>
      <c r="Y1013" s="19" t="s">
        <v>175</v>
      </c>
      <c r="Z1013" s="19"/>
      <c r="AA1013" s="28" t="s">
        <v>7892</v>
      </c>
      <c r="AB1013" s="56">
        <v>43433</v>
      </c>
      <c r="AC1013" s="28" t="s">
        <v>7893</v>
      </c>
      <c r="AD1013" s="28" t="s">
        <v>7894</v>
      </c>
      <c r="AE1013" s="54" t="s">
        <v>7910</v>
      </c>
      <c r="AF1013" s="54"/>
      <c r="AG1013" s="54" t="s">
        <v>7911</v>
      </c>
      <c r="AH1013" s="53" t="s">
        <v>1591</v>
      </c>
      <c r="AI1013" s="53" t="s">
        <v>2686</v>
      </c>
      <c r="AJ1013" s="53" t="s">
        <v>1591</v>
      </c>
    </row>
    <row r="1014" spans="1:36" s="3" customFormat="1" ht="60" x14ac:dyDescent="0.25">
      <c r="A1014" s="35" t="s">
        <v>2793</v>
      </c>
      <c r="B1014" s="18" t="s">
        <v>37</v>
      </c>
      <c r="C1014" s="76" t="s">
        <v>5387</v>
      </c>
      <c r="D1014" s="45" t="s">
        <v>5388</v>
      </c>
      <c r="E1014" s="78"/>
      <c r="F1014" s="79"/>
      <c r="G1014" s="80"/>
      <c r="H1014" s="80"/>
      <c r="I1014" s="78" t="s">
        <v>638</v>
      </c>
      <c r="J1014" s="79" t="s">
        <v>5348</v>
      </c>
      <c r="K1014" s="81" t="s">
        <v>5389</v>
      </c>
      <c r="L1014" s="82">
        <v>42214</v>
      </c>
      <c r="M1014" s="83">
        <v>42394</v>
      </c>
      <c r="N1014" s="80">
        <v>3366111.75</v>
      </c>
      <c r="O1014" s="82">
        <v>42248</v>
      </c>
      <c r="P1014" s="84" t="s">
        <v>5346</v>
      </c>
      <c r="Q1014" s="80">
        <v>4634.0099999997765</v>
      </c>
      <c r="R1014" s="80">
        <v>3370745.76</v>
      </c>
      <c r="S1014" s="80" t="s">
        <v>5346</v>
      </c>
      <c r="T1014" s="81" t="s">
        <v>45</v>
      </c>
      <c r="U1014" s="80"/>
      <c r="V1014" s="80"/>
      <c r="W1014" s="80"/>
      <c r="X1014" s="80">
        <v>66092.240000000005</v>
      </c>
      <c r="Y1014" s="76" t="s">
        <v>637</v>
      </c>
      <c r="Z1014" s="19" t="s">
        <v>7038</v>
      </c>
      <c r="AA1014" s="28" t="s">
        <v>7892</v>
      </c>
      <c r="AB1014" s="56">
        <v>43433</v>
      </c>
      <c r="AC1014" s="28" t="s">
        <v>7893</v>
      </c>
      <c r="AD1014" s="28" t="s">
        <v>7894</v>
      </c>
      <c r="AE1014" s="54"/>
      <c r="AF1014" s="54"/>
      <c r="AG1014" s="54"/>
      <c r="AH1014" s="53"/>
      <c r="AI1014" s="53" t="s">
        <v>1591</v>
      </c>
      <c r="AJ1014" s="53" t="s">
        <v>1591</v>
      </c>
    </row>
    <row r="1015" spans="1:36" s="3" customFormat="1" ht="48" x14ac:dyDescent="0.25">
      <c r="A1015" s="35" t="s">
        <v>2793</v>
      </c>
      <c r="B1015" s="18" t="s">
        <v>37</v>
      </c>
      <c r="C1015" s="76"/>
      <c r="D1015" s="43" t="s">
        <v>5466</v>
      </c>
      <c r="E1015" s="78"/>
      <c r="F1015" s="36"/>
      <c r="G1015" s="80"/>
      <c r="H1015" s="80"/>
      <c r="I1015" s="36" t="s">
        <v>499</v>
      </c>
      <c r="J1015" s="34" t="s">
        <v>5467</v>
      </c>
      <c r="K1015" s="37" t="s">
        <v>5468</v>
      </c>
      <c r="L1015" s="38">
        <v>41439</v>
      </c>
      <c r="M1015" s="39">
        <v>41589</v>
      </c>
      <c r="N1015" s="42">
        <v>3192681.75</v>
      </c>
      <c r="O1015" s="82"/>
      <c r="P1015" s="86">
        <v>41739</v>
      </c>
      <c r="Q1015" s="41"/>
      <c r="R1015" s="80">
        <v>3192681.75</v>
      </c>
      <c r="S1015" s="80"/>
      <c r="T1015" s="81"/>
      <c r="U1015" s="80"/>
      <c r="V1015" s="80"/>
      <c r="W1015" s="42"/>
      <c r="X1015" s="42">
        <v>1190085.1499999999</v>
      </c>
      <c r="Y1015" s="34" t="s">
        <v>4321</v>
      </c>
      <c r="Z1015" s="19" t="s">
        <v>7038</v>
      </c>
      <c r="AA1015" s="28" t="s">
        <v>7892</v>
      </c>
      <c r="AB1015" s="56">
        <v>43433</v>
      </c>
      <c r="AC1015" s="28" t="s">
        <v>7893</v>
      </c>
      <c r="AD1015" s="28" t="s">
        <v>7894</v>
      </c>
      <c r="AE1015" s="54"/>
      <c r="AF1015" s="54"/>
      <c r="AG1015" s="54"/>
      <c r="AH1015" s="53"/>
      <c r="AI1015" s="53" t="s">
        <v>1591</v>
      </c>
      <c r="AJ1015" s="53" t="s">
        <v>1591</v>
      </c>
    </row>
    <row r="1016" spans="1:36" s="3" customFormat="1" ht="144" x14ac:dyDescent="0.25">
      <c r="A1016" s="35" t="s">
        <v>2793</v>
      </c>
      <c r="B1016" s="18" t="s">
        <v>37</v>
      </c>
      <c r="C1016" s="76" t="s">
        <v>5329</v>
      </c>
      <c r="D1016" s="45" t="s">
        <v>5330</v>
      </c>
      <c r="E1016" s="78"/>
      <c r="F1016" s="79"/>
      <c r="G1016" s="80"/>
      <c r="H1016" s="80"/>
      <c r="I1016" s="78" t="s">
        <v>5331</v>
      </c>
      <c r="J1016" s="79" t="s">
        <v>5332</v>
      </c>
      <c r="K1016" s="81" t="s">
        <v>174</v>
      </c>
      <c r="L1016" s="82">
        <v>42614</v>
      </c>
      <c r="M1016" s="83">
        <v>42974</v>
      </c>
      <c r="N1016" s="80">
        <v>3096552.83</v>
      </c>
      <c r="O1016" s="82" t="s">
        <v>175</v>
      </c>
      <c r="P1016" s="84"/>
      <c r="Q1016" s="80"/>
      <c r="R1016" s="80">
        <v>3096552.83</v>
      </c>
      <c r="S1016" s="80"/>
      <c r="T1016" s="81" t="s">
        <v>5333</v>
      </c>
      <c r="U1016" s="80">
        <v>166231.82</v>
      </c>
      <c r="V1016" s="80"/>
      <c r="W1016" s="80"/>
      <c r="X1016" s="80"/>
      <c r="Y1016" s="76" t="s">
        <v>175</v>
      </c>
      <c r="Z1016" s="19" t="s">
        <v>7038</v>
      </c>
      <c r="AA1016" s="28" t="s">
        <v>7892</v>
      </c>
      <c r="AB1016" s="56">
        <v>43433</v>
      </c>
      <c r="AC1016" s="28" t="s">
        <v>7893</v>
      </c>
      <c r="AD1016" s="28" t="s">
        <v>7894</v>
      </c>
      <c r="AE1016" s="54"/>
      <c r="AF1016" s="54"/>
      <c r="AG1016" s="54"/>
      <c r="AH1016" s="53"/>
      <c r="AI1016" s="53" t="s">
        <v>1591</v>
      </c>
      <c r="AJ1016" s="53" t="s">
        <v>1591</v>
      </c>
    </row>
    <row r="1017" spans="1:36" s="3" customFormat="1" ht="72" x14ac:dyDescent="0.25">
      <c r="A1017" s="17" t="s">
        <v>2793</v>
      </c>
      <c r="B1017" s="18" t="s">
        <v>37</v>
      </c>
      <c r="C1017" s="19" t="s">
        <v>629</v>
      </c>
      <c r="D1017" s="45" t="s">
        <v>633</v>
      </c>
      <c r="E1017" s="50" t="s">
        <v>634</v>
      </c>
      <c r="F1017" s="58" t="s">
        <v>611</v>
      </c>
      <c r="G1017" s="51"/>
      <c r="H1017" s="51"/>
      <c r="I1017" s="50" t="s">
        <v>537</v>
      </c>
      <c r="J1017" s="58" t="s">
        <v>632</v>
      </c>
      <c r="K1017" s="52" t="s">
        <v>634</v>
      </c>
      <c r="L1017" s="59">
        <v>41001</v>
      </c>
      <c r="M1017" s="60">
        <v>41365</v>
      </c>
      <c r="N1017" s="51">
        <v>2853368.97</v>
      </c>
      <c r="O1017" s="59" t="s">
        <v>180</v>
      </c>
      <c r="P1017" s="59">
        <f>M1017+365</f>
        <v>41730</v>
      </c>
      <c r="Q1017" s="51"/>
      <c r="R1017" s="51">
        <f>N1017+Q1017</f>
        <v>2853368.97</v>
      </c>
      <c r="S1017" s="51" t="s">
        <v>180</v>
      </c>
      <c r="T1017" s="52" t="s">
        <v>40</v>
      </c>
      <c r="U1017" s="51">
        <v>0</v>
      </c>
      <c r="V1017" s="51">
        <v>0</v>
      </c>
      <c r="W1017" s="51">
        <v>0</v>
      </c>
      <c r="X1017" s="51">
        <v>0</v>
      </c>
      <c r="Y1017" s="19" t="s">
        <v>175</v>
      </c>
      <c r="Z1017" s="19"/>
      <c r="AA1017" s="28" t="s">
        <v>7892</v>
      </c>
      <c r="AB1017" s="56">
        <v>43433</v>
      </c>
      <c r="AC1017" s="28" t="s">
        <v>7893</v>
      </c>
      <c r="AD1017" s="28" t="s">
        <v>7894</v>
      </c>
      <c r="AE1017" s="54" t="s">
        <v>7912</v>
      </c>
      <c r="AF1017" s="54"/>
      <c r="AG1017" s="54" t="s">
        <v>7913</v>
      </c>
      <c r="AH1017" s="53" t="s">
        <v>1591</v>
      </c>
      <c r="AI1017" s="53" t="s">
        <v>2686</v>
      </c>
      <c r="AJ1017" s="53" t="s">
        <v>1591</v>
      </c>
    </row>
    <row r="1018" spans="1:36" s="3" customFormat="1" ht="72" x14ac:dyDescent="0.25">
      <c r="A1018" s="35" t="s">
        <v>2793</v>
      </c>
      <c r="B1018" s="18" t="s">
        <v>37</v>
      </c>
      <c r="C1018" s="76" t="s">
        <v>5378</v>
      </c>
      <c r="D1018" s="45" t="s">
        <v>5379</v>
      </c>
      <c r="E1018" s="78"/>
      <c r="F1018" s="79"/>
      <c r="G1018" s="80"/>
      <c r="H1018" s="80"/>
      <c r="I1018" s="78" t="s">
        <v>612</v>
      </c>
      <c r="J1018" s="79" t="s">
        <v>5380</v>
      </c>
      <c r="K1018" s="81" t="s">
        <v>5381</v>
      </c>
      <c r="L1018" s="82">
        <v>42103</v>
      </c>
      <c r="M1018" s="83">
        <v>42468</v>
      </c>
      <c r="N1018" s="80">
        <v>2418317.89</v>
      </c>
      <c r="O1018" s="82">
        <v>42695</v>
      </c>
      <c r="P1018" s="84" t="s">
        <v>5346</v>
      </c>
      <c r="Q1018" s="80"/>
      <c r="R1018" s="80">
        <v>2418317.89</v>
      </c>
      <c r="S1018" s="80" t="s">
        <v>5346</v>
      </c>
      <c r="T1018" s="81" t="s">
        <v>5382</v>
      </c>
      <c r="U1018" s="80">
        <v>40438.019999999997</v>
      </c>
      <c r="V1018" s="80"/>
      <c r="W1018" s="80"/>
      <c r="X1018" s="80">
        <v>1869876.31</v>
      </c>
      <c r="Y1018" s="76" t="s">
        <v>637</v>
      </c>
      <c r="Z1018" s="19" t="s">
        <v>7038</v>
      </c>
      <c r="AA1018" s="28" t="s">
        <v>7892</v>
      </c>
      <c r="AB1018" s="56">
        <v>43433</v>
      </c>
      <c r="AC1018" s="28" t="s">
        <v>7893</v>
      </c>
      <c r="AD1018" s="28" t="s">
        <v>7894</v>
      </c>
      <c r="AE1018" s="54" t="s">
        <v>7915</v>
      </c>
      <c r="AF1018" s="54"/>
      <c r="AG1018" s="54" t="s">
        <v>4936</v>
      </c>
      <c r="AH1018" s="53" t="s">
        <v>1591</v>
      </c>
      <c r="AI1018" s="53" t="s">
        <v>2686</v>
      </c>
      <c r="AJ1018" s="53" t="s">
        <v>1591</v>
      </c>
    </row>
    <row r="1019" spans="1:36" s="3" customFormat="1" ht="84" x14ac:dyDescent="0.25">
      <c r="A1019" s="17" t="s">
        <v>2793</v>
      </c>
      <c r="B1019" s="18" t="s">
        <v>37</v>
      </c>
      <c r="C1019" s="19" t="s">
        <v>624</v>
      </c>
      <c r="D1019" s="45" t="s">
        <v>3035</v>
      </c>
      <c r="E1019" s="50" t="s">
        <v>580</v>
      </c>
      <c r="F1019" s="58" t="s">
        <v>611</v>
      </c>
      <c r="G1019" s="51"/>
      <c r="H1019" s="51"/>
      <c r="I1019" s="50" t="s">
        <v>625</v>
      </c>
      <c r="J1019" s="58" t="s">
        <v>626</v>
      </c>
      <c r="K1019" s="52" t="s">
        <v>580</v>
      </c>
      <c r="L1019" s="59">
        <v>42229</v>
      </c>
      <c r="M1019" s="60">
        <f>L1019+12*30</f>
        <v>42589</v>
      </c>
      <c r="N1019" s="51">
        <v>2377069.02</v>
      </c>
      <c r="O1019" s="59" t="s">
        <v>180</v>
      </c>
      <c r="P1019" s="59">
        <f>M1019+365</f>
        <v>42954</v>
      </c>
      <c r="Q1019" s="51"/>
      <c r="R1019" s="51">
        <f>N1019+Q1019</f>
        <v>2377069.02</v>
      </c>
      <c r="S1019" s="51" t="s">
        <v>180</v>
      </c>
      <c r="T1019" s="52" t="s">
        <v>81</v>
      </c>
      <c r="U1019" s="51">
        <v>0</v>
      </c>
      <c r="V1019" s="51">
        <v>0</v>
      </c>
      <c r="W1019" s="51">
        <v>0</v>
      </c>
      <c r="X1019" s="51">
        <v>0</v>
      </c>
      <c r="Y1019" s="19" t="s">
        <v>175</v>
      </c>
      <c r="Z1019" s="19"/>
      <c r="AA1019" s="28" t="s">
        <v>7892</v>
      </c>
      <c r="AB1019" s="56">
        <v>43433</v>
      </c>
      <c r="AC1019" s="28" t="s">
        <v>7893</v>
      </c>
      <c r="AD1019" s="28" t="s">
        <v>7894</v>
      </c>
      <c r="AE1019" s="54" t="s">
        <v>7916</v>
      </c>
      <c r="AF1019" s="54"/>
      <c r="AG1019" s="54" t="s">
        <v>7914</v>
      </c>
      <c r="AH1019" s="53" t="s">
        <v>1591</v>
      </c>
      <c r="AI1019" s="53" t="s">
        <v>2686</v>
      </c>
      <c r="AJ1019" s="53" t="s">
        <v>1591</v>
      </c>
    </row>
    <row r="1020" spans="1:36" s="3" customFormat="1" ht="120" x14ac:dyDescent="0.25">
      <c r="A1020" s="35" t="s">
        <v>2793</v>
      </c>
      <c r="B1020" s="18" t="s">
        <v>37</v>
      </c>
      <c r="C1020" s="76" t="s">
        <v>5373</v>
      </c>
      <c r="D1020" s="45" t="s">
        <v>5374</v>
      </c>
      <c r="E1020" s="78"/>
      <c r="F1020" s="79"/>
      <c r="G1020" s="80"/>
      <c r="H1020" s="80"/>
      <c r="I1020" s="78" t="s">
        <v>642</v>
      </c>
      <c r="J1020" s="79" t="s">
        <v>5375</v>
      </c>
      <c r="K1020" s="81" t="s">
        <v>5376</v>
      </c>
      <c r="L1020" s="82">
        <v>42485</v>
      </c>
      <c r="M1020" s="83">
        <v>42665</v>
      </c>
      <c r="N1020" s="80">
        <v>2250490.34</v>
      </c>
      <c r="O1020" s="82" t="s">
        <v>5340</v>
      </c>
      <c r="P1020" s="84" t="s">
        <v>5340</v>
      </c>
      <c r="Q1020" s="80">
        <v>86499.1</v>
      </c>
      <c r="R1020" s="80">
        <v>2336989.44</v>
      </c>
      <c r="S1020" s="80" t="s">
        <v>5340</v>
      </c>
      <c r="T1020" s="81" t="s">
        <v>45</v>
      </c>
      <c r="U1020" s="80">
        <v>130493.83</v>
      </c>
      <c r="V1020" s="80"/>
      <c r="W1020" s="80"/>
      <c r="X1020" s="80">
        <v>52445.98</v>
      </c>
      <c r="Y1020" s="76" t="s">
        <v>175</v>
      </c>
      <c r="Z1020" s="19" t="s">
        <v>7038</v>
      </c>
      <c r="AA1020" s="28" t="s">
        <v>7892</v>
      </c>
      <c r="AB1020" s="56">
        <v>43433</v>
      </c>
      <c r="AC1020" s="28" t="s">
        <v>7893</v>
      </c>
      <c r="AD1020" s="28" t="s">
        <v>7894</v>
      </c>
      <c r="AE1020" s="54" t="s">
        <v>7917</v>
      </c>
      <c r="AF1020" s="54"/>
      <c r="AG1020" s="54" t="s">
        <v>7918</v>
      </c>
      <c r="AH1020" s="53" t="s">
        <v>1591</v>
      </c>
      <c r="AI1020" s="53" t="s">
        <v>2686</v>
      </c>
      <c r="AJ1020" s="53" t="s">
        <v>1591</v>
      </c>
    </row>
    <row r="1021" spans="1:36" s="3" customFormat="1" ht="60" x14ac:dyDescent="0.25">
      <c r="A1021" s="35" t="s">
        <v>2793</v>
      </c>
      <c r="B1021" s="18" t="s">
        <v>37</v>
      </c>
      <c r="C1021" s="76" t="s">
        <v>5436</v>
      </c>
      <c r="D1021" s="45" t="s">
        <v>5437</v>
      </c>
      <c r="E1021" s="78"/>
      <c r="F1021" s="79"/>
      <c r="G1021" s="80"/>
      <c r="H1021" s="80"/>
      <c r="I1021" s="78" t="s">
        <v>627</v>
      </c>
      <c r="J1021" s="79" t="s">
        <v>628</v>
      </c>
      <c r="K1021" s="81" t="s">
        <v>5438</v>
      </c>
      <c r="L1021" s="82">
        <v>41641</v>
      </c>
      <c r="M1021" s="39">
        <v>41791</v>
      </c>
      <c r="N1021" s="80">
        <v>2216795.91</v>
      </c>
      <c r="O1021" s="82"/>
      <c r="P1021" s="84" t="s">
        <v>5439</v>
      </c>
      <c r="Q1021" s="80"/>
      <c r="R1021" s="80">
        <v>2216795.91</v>
      </c>
      <c r="S1021" s="80" t="s">
        <v>2104</v>
      </c>
      <c r="T1021" s="81" t="s">
        <v>45</v>
      </c>
      <c r="U1021" s="80"/>
      <c r="V1021" s="80"/>
      <c r="W1021" s="80"/>
      <c r="X1021" s="80">
        <v>1074235.25</v>
      </c>
      <c r="Y1021" s="76" t="s">
        <v>468</v>
      </c>
      <c r="Z1021" s="19" t="s">
        <v>7038</v>
      </c>
      <c r="AA1021" s="28" t="s">
        <v>7892</v>
      </c>
      <c r="AB1021" s="56">
        <v>43433</v>
      </c>
      <c r="AC1021" s="28" t="s">
        <v>7893</v>
      </c>
      <c r="AD1021" s="28" t="s">
        <v>7894</v>
      </c>
      <c r="AE1021" s="54"/>
      <c r="AF1021" s="54"/>
      <c r="AG1021" s="54"/>
      <c r="AH1021" s="53"/>
      <c r="AI1021" s="53" t="s">
        <v>1591</v>
      </c>
      <c r="AJ1021" s="53" t="s">
        <v>1591</v>
      </c>
    </row>
    <row r="1022" spans="1:36" s="3" customFormat="1" ht="120" x14ac:dyDescent="0.25">
      <c r="A1022" s="35" t="s">
        <v>2793</v>
      </c>
      <c r="B1022" s="18" t="s">
        <v>37</v>
      </c>
      <c r="C1022" s="76" t="s">
        <v>5341</v>
      </c>
      <c r="D1022" s="45" t="s">
        <v>5342</v>
      </c>
      <c r="E1022" s="78"/>
      <c r="F1022" s="79"/>
      <c r="G1022" s="80"/>
      <c r="H1022" s="80"/>
      <c r="I1022" s="78" t="s">
        <v>5343</v>
      </c>
      <c r="J1022" s="79" t="s">
        <v>5344</v>
      </c>
      <c r="K1022" s="81" t="s">
        <v>5345</v>
      </c>
      <c r="L1022" s="82">
        <v>41355</v>
      </c>
      <c r="M1022" s="83">
        <v>41475</v>
      </c>
      <c r="N1022" s="80">
        <v>2188658.5</v>
      </c>
      <c r="O1022" s="82">
        <v>42248</v>
      </c>
      <c r="P1022" s="84" t="s">
        <v>5346</v>
      </c>
      <c r="Q1022" s="80"/>
      <c r="R1022" s="80">
        <v>2188658.5</v>
      </c>
      <c r="S1022" s="80">
        <v>82113.41</v>
      </c>
      <c r="T1022" s="81" t="s">
        <v>448</v>
      </c>
      <c r="U1022" s="80">
        <v>28786.04</v>
      </c>
      <c r="V1022" s="80"/>
      <c r="W1022" s="80"/>
      <c r="X1022" s="80">
        <v>707569.51</v>
      </c>
      <c r="Y1022" s="76" t="s">
        <v>637</v>
      </c>
      <c r="Z1022" s="19" t="s">
        <v>7038</v>
      </c>
      <c r="AA1022" s="28" t="s">
        <v>7892</v>
      </c>
      <c r="AB1022" s="56">
        <v>43433</v>
      </c>
      <c r="AC1022" s="28" t="s">
        <v>7893</v>
      </c>
      <c r="AD1022" s="28" t="s">
        <v>7894</v>
      </c>
      <c r="AE1022" s="54" t="s">
        <v>7919</v>
      </c>
      <c r="AF1022" s="54"/>
      <c r="AG1022" s="54" t="s">
        <v>7920</v>
      </c>
      <c r="AH1022" s="53" t="s">
        <v>1591</v>
      </c>
      <c r="AI1022" s="53" t="s">
        <v>2686</v>
      </c>
      <c r="AJ1022" s="53" t="s">
        <v>1591</v>
      </c>
    </row>
    <row r="1023" spans="1:36" s="3" customFormat="1" ht="108" x14ac:dyDescent="0.25">
      <c r="A1023" s="35" t="s">
        <v>2793</v>
      </c>
      <c r="B1023" s="18" t="s">
        <v>37</v>
      </c>
      <c r="C1023" s="76" t="s">
        <v>5440</v>
      </c>
      <c r="D1023" s="45" t="s">
        <v>5446</v>
      </c>
      <c r="E1023" s="78" t="s">
        <v>5442</v>
      </c>
      <c r="F1023" s="79" t="s">
        <v>5443</v>
      </c>
      <c r="G1023" s="80">
        <v>987600</v>
      </c>
      <c r="H1023" s="80">
        <v>2264536.94</v>
      </c>
      <c r="I1023" s="78" t="s">
        <v>63</v>
      </c>
      <c r="J1023" s="79" t="s">
        <v>167</v>
      </c>
      <c r="K1023" s="81" t="s">
        <v>5447</v>
      </c>
      <c r="L1023" s="82">
        <v>42216</v>
      </c>
      <c r="M1023" s="83">
        <v>42336</v>
      </c>
      <c r="N1023" s="80">
        <v>2185262.2599999998</v>
      </c>
      <c r="O1023" s="82" t="s">
        <v>2883</v>
      </c>
      <c r="P1023" s="84"/>
      <c r="Q1023" s="80"/>
      <c r="R1023" s="80">
        <v>2185262.2599999998</v>
      </c>
      <c r="S1023" s="80" t="s">
        <v>2104</v>
      </c>
      <c r="T1023" s="81" t="s">
        <v>45</v>
      </c>
      <c r="U1023" s="80">
        <v>764710.84</v>
      </c>
      <c r="V1023" s="80"/>
      <c r="W1023" s="80"/>
      <c r="X1023" s="80">
        <v>764710.84</v>
      </c>
      <c r="Y1023" s="76" t="s">
        <v>5445</v>
      </c>
      <c r="Z1023" s="19" t="s">
        <v>7038</v>
      </c>
      <c r="AA1023" s="28" t="s">
        <v>7892</v>
      </c>
      <c r="AB1023" s="56">
        <v>43433</v>
      </c>
      <c r="AC1023" s="28" t="s">
        <v>7893</v>
      </c>
      <c r="AD1023" s="28" t="s">
        <v>7894</v>
      </c>
      <c r="AE1023" s="54" t="s">
        <v>7921</v>
      </c>
      <c r="AF1023" s="54"/>
      <c r="AG1023" s="54" t="s">
        <v>542</v>
      </c>
      <c r="AH1023" s="53" t="s">
        <v>1591</v>
      </c>
      <c r="AI1023" s="53" t="s">
        <v>2686</v>
      </c>
      <c r="AJ1023" s="53" t="s">
        <v>1591</v>
      </c>
    </row>
    <row r="1024" spans="1:36" s="3" customFormat="1" ht="72" x14ac:dyDescent="0.25">
      <c r="A1024" s="35" t="s">
        <v>2793</v>
      </c>
      <c r="B1024" s="18" t="s">
        <v>37</v>
      </c>
      <c r="C1024" s="76" t="s">
        <v>5367</v>
      </c>
      <c r="D1024" s="45" t="s">
        <v>5368</v>
      </c>
      <c r="E1024" s="78"/>
      <c r="F1024" s="79"/>
      <c r="G1024" s="80"/>
      <c r="H1024" s="80"/>
      <c r="I1024" s="78" t="s">
        <v>526</v>
      </c>
      <c r="J1024" s="79" t="s">
        <v>5369</v>
      </c>
      <c r="K1024" s="81" t="s">
        <v>5370</v>
      </c>
      <c r="L1024" s="82">
        <v>42233</v>
      </c>
      <c r="M1024" s="83">
        <v>42413</v>
      </c>
      <c r="N1024" s="80">
        <v>1852856.08</v>
      </c>
      <c r="O1024" s="82">
        <v>42675</v>
      </c>
      <c r="P1024" s="84" t="s">
        <v>5371</v>
      </c>
      <c r="Q1024" s="80">
        <v>306398.24</v>
      </c>
      <c r="R1024" s="80">
        <v>2159254.3200000003</v>
      </c>
      <c r="S1024" s="80" t="s">
        <v>5340</v>
      </c>
      <c r="T1024" s="81" t="s">
        <v>5372</v>
      </c>
      <c r="U1024" s="80">
        <v>1253813.8700000001</v>
      </c>
      <c r="V1024" s="80"/>
      <c r="W1024" s="80"/>
      <c r="X1024" s="80">
        <v>1455522.58</v>
      </c>
      <c r="Y1024" s="76" t="s">
        <v>637</v>
      </c>
      <c r="Z1024" s="19" t="s">
        <v>7038</v>
      </c>
      <c r="AA1024" s="28" t="s">
        <v>7892</v>
      </c>
      <c r="AB1024" s="56">
        <v>43433</v>
      </c>
      <c r="AC1024" s="28" t="s">
        <v>7893</v>
      </c>
      <c r="AD1024" s="28" t="s">
        <v>7894</v>
      </c>
      <c r="AE1024" s="54" t="s">
        <v>7922</v>
      </c>
      <c r="AF1024" s="54"/>
      <c r="AG1024" s="54" t="s">
        <v>7896</v>
      </c>
      <c r="AH1024" s="53" t="s">
        <v>1591</v>
      </c>
      <c r="AI1024" s="53" t="s">
        <v>2686</v>
      </c>
      <c r="AJ1024" s="53" t="s">
        <v>1591</v>
      </c>
    </row>
    <row r="1025" spans="1:36" s="3" customFormat="1" ht="60" x14ac:dyDescent="0.25">
      <c r="A1025" s="35" t="s">
        <v>2793</v>
      </c>
      <c r="B1025" s="18" t="s">
        <v>37</v>
      </c>
      <c r="C1025" s="76" t="s">
        <v>5350</v>
      </c>
      <c r="D1025" s="45" t="s">
        <v>5351</v>
      </c>
      <c r="E1025" s="78"/>
      <c r="F1025" s="79"/>
      <c r="G1025" s="80"/>
      <c r="H1025" s="80"/>
      <c r="I1025" s="78" t="s">
        <v>638</v>
      </c>
      <c r="J1025" s="79" t="s">
        <v>5348</v>
      </c>
      <c r="K1025" s="81" t="s">
        <v>5352</v>
      </c>
      <c r="L1025" s="82">
        <v>42425</v>
      </c>
      <c r="M1025" s="83">
        <v>42545</v>
      </c>
      <c r="N1025" s="80">
        <v>1702735.17</v>
      </c>
      <c r="O1025" s="82" t="s">
        <v>5353</v>
      </c>
      <c r="P1025" s="84" t="s">
        <v>5354</v>
      </c>
      <c r="Q1025" s="80"/>
      <c r="R1025" s="80">
        <v>1702735.17</v>
      </c>
      <c r="S1025" s="80" t="s">
        <v>5340</v>
      </c>
      <c r="T1025" s="81" t="s">
        <v>45</v>
      </c>
      <c r="U1025" s="80">
        <v>50741.4</v>
      </c>
      <c r="V1025" s="80"/>
      <c r="W1025" s="80"/>
      <c r="X1025" s="80">
        <v>50741.4</v>
      </c>
      <c r="Y1025" s="76" t="s">
        <v>637</v>
      </c>
      <c r="Z1025" s="19" t="s">
        <v>7038</v>
      </c>
      <c r="AA1025" s="28" t="s">
        <v>7892</v>
      </c>
      <c r="AB1025" s="56">
        <v>43433</v>
      </c>
      <c r="AC1025" s="28" t="s">
        <v>7893</v>
      </c>
      <c r="AD1025" s="28" t="s">
        <v>7894</v>
      </c>
      <c r="AE1025" s="54" t="s">
        <v>7923</v>
      </c>
      <c r="AF1025" s="54"/>
      <c r="AG1025" s="54" t="s">
        <v>186</v>
      </c>
      <c r="AH1025" s="53" t="s">
        <v>1591</v>
      </c>
      <c r="AI1025" s="53" t="s">
        <v>2686</v>
      </c>
      <c r="AJ1025" s="53" t="s">
        <v>1591</v>
      </c>
    </row>
    <row r="1026" spans="1:36" s="3" customFormat="1" ht="60" x14ac:dyDescent="0.25">
      <c r="A1026" s="35" t="s">
        <v>2793</v>
      </c>
      <c r="B1026" s="18" t="s">
        <v>37</v>
      </c>
      <c r="C1026" s="76" t="s">
        <v>5350</v>
      </c>
      <c r="D1026" s="45" t="s">
        <v>5355</v>
      </c>
      <c r="E1026" s="78"/>
      <c r="F1026" s="79"/>
      <c r="G1026" s="80"/>
      <c r="H1026" s="80"/>
      <c r="I1026" s="78" t="s">
        <v>638</v>
      </c>
      <c r="J1026" s="79" t="s">
        <v>5348</v>
      </c>
      <c r="K1026" s="81" t="s">
        <v>5356</v>
      </c>
      <c r="L1026" s="82">
        <v>42425</v>
      </c>
      <c r="M1026" s="83">
        <v>42545</v>
      </c>
      <c r="N1026" s="80">
        <v>1696202.1</v>
      </c>
      <c r="O1026" s="82" t="s">
        <v>5353</v>
      </c>
      <c r="P1026" s="84" t="s">
        <v>5354</v>
      </c>
      <c r="Q1026" s="80"/>
      <c r="R1026" s="80">
        <v>1696202.1</v>
      </c>
      <c r="S1026" s="80" t="s">
        <v>5340</v>
      </c>
      <c r="T1026" s="81" t="s">
        <v>45</v>
      </c>
      <c r="U1026" s="80">
        <v>42880.65</v>
      </c>
      <c r="V1026" s="80"/>
      <c r="W1026" s="80"/>
      <c r="X1026" s="80">
        <v>42880.65</v>
      </c>
      <c r="Y1026" s="76" t="s">
        <v>637</v>
      </c>
      <c r="Z1026" s="19" t="s">
        <v>7038</v>
      </c>
      <c r="AA1026" s="28" t="s">
        <v>7892</v>
      </c>
      <c r="AB1026" s="56">
        <v>43433</v>
      </c>
      <c r="AC1026" s="28" t="s">
        <v>7893</v>
      </c>
      <c r="AD1026" s="28" t="s">
        <v>7894</v>
      </c>
      <c r="AE1026" s="54" t="s">
        <v>7923</v>
      </c>
      <c r="AF1026" s="54"/>
      <c r="AG1026" s="54" t="s">
        <v>186</v>
      </c>
      <c r="AH1026" s="53" t="s">
        <v>1591</v>
      </c>
      <c r="AI1026" s="53" t="s">
        <v>2686</v>
      </c>
      <c r="AJ1026" s="53" t="s">
        <v>1591</v>
      </c>
    </row>
    <row r="1027" spans="1:36" s="3" customFormat="1" ht="84" x14ac:dyDescent="0.25">
      <c r="A1027" s="17" t="s">
        <v>2793</v>
      </c>
      <c r="B1027" s="18" t="s">
        <v>37</v>
      </c>
      <c r="C1027" s="19" t="s">
        <v>622</v>
      </c>
      <c r="D1027" s="45" t="s">
        <v>623</v>
      </c>
      <c r="E1027" s="50" t="s">
        <v>62</v>
      </c>
      <c r="F1027" s="58" t="s">
        <v>611</v>
      </c>
      <c r="G1027" s="51"/>
      <c r="H1027" s="51"/>
      <c r="I1027" s="50" t="s">
        <v>620</v>
      </c>
      <c r="J1027" s="58" t="s">
        <v>621</v>
      </c>
      <c r="K1027" s="52" t="s">
        <v>62</v>
      </c>
      <c r="L1027" s="59">
        <v>41850</v>
      </c>
      <c r="M1027" s="60">
        <f>L1027+12*30</f>
        <v>42210</v>
      </c>
      <c r="N1027" s="51">
        <v>1397162.1</v>
      </c>
      <c r="O1027" s="59" t="s">
        <v>180</v>
      </c>
      <c r="P1027" s="59">
        <f>M1027+365</f>
        <v>42575</v>
      </c>
      <c r="Q1027" s="51"/>
      <c r="R1027" s="51">
        <f>N1027+Q1027</f>
        <v>1397162.1</v>
      </c>
      <c r="S1027" s="51" t="s">
        <v>180</v>
      </c>
      <c r="T1027" s="52" t="s">
        <v>81</v>
      </c>
      <c r="U1027" s="51">
        <v>133777.79999999999</v>
      </c>
      <c r="V1027" s="51">
        <v>133777.79999999999</v>
      </c>
      <c r="W1027" s="51">
        <v>0</v>
      </c>
      <c r="X1027" s="51">
        <v>0</v>
      </c>
      <c r="Y1027" s="19" t="s">
        <v>175</v>
      </c>
      <c r="Z1027" s="19"/>
      <c r="AA1027" s="28" t="s">
        <v>7892</v>
      </c>
      <c r="AB1027" s="56">
        <v>43433</v>
      </c>
      <c r="AC1027" s="28" t="s">
        <v>7893</v>
      </c>
      <c r="AD1027" s="28" t="s">
        <v>7894</v>
      </c>
      <c r="AE1027" s="54" t="s">
        <v>7924</v>
      </c>
      <c r="AF1027" s="54"/>
      <c r="AG1027" s="54" t="s">
        <v>7925</v>
      </c>
      <c r="AH1027" s="53" t="s">
        <v>1591</v>
      </c>
      <c r="AI1027" s="53" t="s">
        <v>2686</v>
      </c>
      <c r="AJ1027" s="53" t="s">
        <v>1591</v>
      </c>
    </row>
    <row r="1028" spans="1:36" s="3" customFormat="1" ht="72" x14ac:dyDescent="0.25">
      <c r="A1028" s="35" t="s">
        <v>2793</v>
      </c>
      <c r="B1028" s="18" t="s">
        <v>37</v>
      </c>
      <c r="C1028" s="76" t="s">
        <v>5451</v>
      </c>
      <c r="D1028" s="45" t="s">
        <v>5452</v>
      </c>
      <c r="E1028" s="78" t="s">
        <v>5453</v>
      </c>
      <c r="F1028" s="79" t="s">
        <v>5454</v>
      </c>
      <c r="G1028" s="80">
        <v>185000</v>
      </c>
      <c r="H1028" s="80">
        <v>107500</v>
      </c>
      <c r="I1028" s="78" t="s">
        <v>2100</v>
      </c>
      <c r="J1028" s="79" t="s">
        <v>5455</v>
      </c>
      <c r="K1028" s="81" t="s">
        <v>5456</v>
      </c>
      <c r="L1028" s="82">
        <v>42583</v>
      </c>
      <c r="M1028" s="83">
        <v>42763</v>
      </c>
      <c r="N1028" s="80">
        <v>986528.69</v>
      </c>
      <c r="O1028" s="82"/>
      <c r="P1028" s="84"/>
      <c r="Q1028" s="80"/>
      <c r="R1028" s="80">
        <v>986528.69</v>
      </c>
      <c r="S1028" s="80" t="s">
        <v>2104</v>
      </c>
      <c r="T1028" s="81" t="s">
        <v>45</v>
      </c>
      <c r="U1028" s="80"/>
      <c r="V1028" s="80"/>
      <c r="W1028" s="80"/>
      <c r="X1028" s="80"/>
      <c r="Y1028" s="76" t="s">
        <v>175</v>
      </c>
      <c r="Z1028" s="19" t="s">
        <v>7038</v>
      </c>
      <c r="AA1028" s="28" t="s">
        <v>7892</v>
      </c>
      <c r="AB1028" s="56">
        <v>43433</v>
      </c>
      <c r="AC1028" s="28" t="s">
        <v>7893</v>
      </c>
      <c r="AD1028" s="28" t="s">
        <v>7894</v>
      </c>
      <c r="AE1028" s="54" t="s">
        <v>7926</v>
      </c>
      <c r="AF1028" s="54"/>
      <c r="AG1028" s="54" t="s">
        <v>542</v>
      </c>
      <c r="AH1028" s="53" t="s">
        <v>1591</v>
      </c>
      <c r="AI1028" s="53" t="s">
        <v>2686</v>
      </c>
      <c r="AJ1028" s="53" t="s">
        <v>1591</v>
      </c>
    </row>
    <row r="1029" spans="1:36" s="3" customFormat="1" ht="72" x14ac:dyDescent="0.25">
      <c r="A1029" s="35" t="s">
        <v>2793</v>
      </c>
      <c r="B1029" s="18" t="s">
        <v>37</v>
      </c>
      <c r="C1029" s="76" t="s">
        <v>5405</v>
      </c>
      <c r="D1029" s="45" t="s">
        <v>5406</v>
      </c>
      <c r="E1029" s="78"/>
      <c r="F1029" s="79"/>
      <c r="G1029" s="80"/>
      <c r="H1029" s="80"/>
      <c r="I1029" s="78" t="s">
        <v>5407</v>
      </c>
      <c r="J1029" s="79" t="s">
        <v>5408</v>
      </c>
      <c r="K1029" s="81" t="s">
        <v>2568</v>
      </c>
      <c r="L1029" s="82">
        <v>40842</v>
      </c>
      <c r="M1029" s="83">
        <v>40962</v>
      </c>
      <c r="N1029" s="80">
        <v>861779.06</v>
      </c>
      <c r="O1029" s="82"/>
      <c r="P1029" s="84">
        <v>41082</v>
      </c>
      <c r="Q1029" s="80"/>
      <c r="R1029" s="80">
        <v>861779.06</v>
      </c>
      <c r="S1029" s="80">
        <v>0</v>
      </c>
      <c r="T1029" s="81" t="s">
        <v>52</v>
      </c>
      <c r="U1029" s="80"/>
      <c r="V1029" s="80"/>
      <c r="W1029" s="80"/>
      <c r="X1029" s="80">
        <v>259339.21</v>
      </c>
      <c r="Y1029" s="76" t="s">
        <v>468</v>
      </c>
      <c r="Z1029" s="19" t="s">
        <v>7038</v>
      </c>
      <c r="AA1029" s="28" t="s">
        <v>7892</v>
      </c>
      <c r="AB1029" s="56">
        <v>43433</v>
      </c>
      <c r="AC1029" s="28" t="s">
        <v>7893</v>
      </c>
      <c r="AD1029" s="28" t="s">
        <v>7894</v>
      </c>
      <c r="AE1029" s="54"/>
      <c r="AF1029" s="54"/>
      <c r="AG1029" s="54"/>
      <c r="AH1029" s="53"/>
      <c r="AI1029" s="53" t="s">
        <v>1591</v>
      </c>
      <c r="AJ1029" s="53" t="s">
        <v>1591</v>
      </c>
    </row>
    <row r="1030" spans="1:36" s="3" customFormat="1" ht="48" x14ac:dyDescent="0.25">
      <c r="A1030" s="35" t="s">
        <v>2793</v>
      </c>
      <c r="B1030" s="18" t="s">
        <v>37</v>
      </c>
      <c r="C1030" s="76"/>
      <c r="D1030" s="43" t="s">
        <v>5469</v>
      </c>
      <c r="E1030" s="78"/>
      <c r="F1030" s="36"/>
      <c r="G1030" s="80"/>
      <c r="H1030" s="80"/>
      <c r="I1030" s="36" t="s">
        <v>483</v>
      </c>
      <c r="J1030" s="34" t="s">
        <v>5377</v>
      </c>
      <c r="K1030" s="37" t="s">
        <v>5470</v>
      </c>
      <c r="L1030" s="38">
        <v>40945</v>
      </c>
      <c r="M1030" s="39">
        <v>41035</v>
      </c>
      <c r="N1030" s="42">
        <v>453464.03</v>
      </c>
      <c r="O1030" s="82"/>
      <c r="P1030" s="86">
        <v>41125</v>
      </c>
      <c r="Q1030" s="41">
        <v>207000.88</v>
      </c>
      <c r="R1030" s="80">
        <v>660464.91</v>
      </c>
      <c r="S1030" s="80"/>
      <c r="T1030" s="81"/>
      <c r="U1030" s="80"/>
      <c r="V1030" s="80"/>
      <c r="W1030" s="42"/>
      <c r="X1030" s="42">
        <v>372756.05</v>
      </c>
      <c r="Y1030" s="34" t="s">
        <v>4321</v>
      </c>
      <c r="Z1030" s="19" t="s">
        <v>7038</v>
      </c>
      <c r="AA1030" s="28" t="s">
        <v>7892</v>
      </c>
      <c r="AB1030" s="56">
        <v>43433</v>
      </c>
      <c r="AC1030" s="28" t="s">
        <v>7893</v>
      </c>
      <c r="AD1030" s="28" t="s">
        <v>7894</v>
      </c>
      <c r="AE1030" s="54"/>
      <c r="AF1030" s="54"/>
      <c r="AG1030" s="54"/>
      <c r="AH1030" s="53"/>
      <c r="AI1030" s="53" t="s">
        <v>1591</v>
      </c>
      <c r="AJ1030" s="53" t="s">
        <v>1591</v>
      </c>
    </row>
    <row r="1031" spans="1:36" s="3" customFormat="1" ht="96" x14ac:dyDescent="0.25">
      <c r="A1031" s="35" t="s">
        <v>2793</v>
      </c>
      <c r="B1031" s="18" t="s">
        <v>37</v>
      </c>
      <c r="C1031" s="76" t="s">
        <v>5427</v>
      </c>
      <c r="D1031" s="45" t="s">
        <v>5428</v>
      </c>
      <c r="E1031" s="78"/>
      <c r="F1031" s="79"/>
      <c r="G1031" s="80"/>
      <c r="H1031" s="80"/>
      <c r="I1031" s="78" t="s">
        <v>5097</v>
      </c>
      <c r="J1031" s="79" t="s">
        <v>5429</v>
      </c>
      <c r="K1031" s="81" t="s">
        <v>1202</v>
      </c>
      <c r="L1031" s="82">
        <v>41771</v>
      </c>
      <c r="M1031" s="83">
        <v>41951</v>
      </c>
      <c r="N1031" s="80" t="s">
        <v>5430</v>
      </c>
      <c r="O1031" s="82"/>
      <c r="P1031" s="84" t="s">
        <v>2882</v>
      </c>
      <c r="Q1031" s="80"/>
      <c r="R1031" s="80">
        <v>509347.56</v>
      </c>
      <c r="S1031" s="80" t="s">
        <v>2104</v>
      </c>
      <c r="T1031" s="81" t="s">
        <v>52</v>
      </c>
      <c r="U1031" s="80"/>
      <c r="V1031" s="80"/>
      <c r="W1031" s="80"/>
      <c r="X1031" s="80">
        <v>158350.34</v>
      </c>
      <c r="Y1031" s="76" t="s">
        <v>468</v>
      </c>
      <c r="Z1031" s="19" t="s">
        <v>7038</v>
      </c>
      <c r="AA1031" s="28" t="s">
        <v>7892</v>
      </c>
      <c r="AB1031" s="56">
        <v>43433</v>
      </c>
      <c r="AC1031" s="28" t="s">
        <v>7893</v>
      </c>
      <c r="AD1031" s="28" t="s">
        <v>7894</v>
      </c>
      <c r="AE1031" s="54"/>
      <c r="AF1031" s="54"/>
      <c r="AG1031" s="54"/>
      <c r="AH1031" s="53"/>
      <c r="AI1031" s="53" t="s">
        <v>1591</v>
      </c>
      <c r="AJ1031" s="53" t="s">
        <v>1591</v>
      </c>
    </row>
    <row r="1032" spans="1:36" s="3" customFormat="1" ht="108" x14ac:dyDescent="0.25">
      <c r="A1032" s="35" t="s">
        <v>2793</v>
      </c>
      <c r="B1032" s="18" t="s">
        <v>37</v>
      </c>
      <c r="C1032" s="76" t="s">
        <v>5440</v>
      </c>
      <c r="D1032" s="45" t="s">
        <v>5441</v>
      </c>
      <c r="E1032" s="78" t="s">
        <v>5442</v>
      </c>
      <c r="F1032" s="79" t="s">
        <v>5443</v>
      </c>
      <c r="G1032" s="80">
        <v>987600</v>
      </c>
      <c r="H1032" s="80">
        <v>2264535.94</v>
      </c>
      <c r="I1032" s="78" t="s">
        <v>63</v>
      </c>
      <c r="J1032" s="79" t="s">
        <v>167</v>
      </c>
      <c r="K1032" s="81" t="s">
        <v>5444</v>
      </c>
      <c r="L1032" s="82">
        <v>42214</v>
      </c>
      <c r="M1032" s="83">
        <v>42334</v>
      </c>
      <c r="N1032" s="80">
        <v>469729.11</v>
      </c>
      <c r="O1032" s="82">
        <v>42339</v>
      </c>
      <c r="P1032" s="84"/>
      <c r="Q1032" s="80"/>
      <c r="R1032" s="80">
        <v>469729.11</v>
      </c>
      <c r="S1032" s="80" t="s">
        <v>2104</v>
      </c>
      <c r="T1032" s="81" t="s">
        <v>45</v>
      </c>
      <c r="U1032" s="80"/>
      <c r="V1032" s="80"/>
      <c r="W1032" s="80"/>
      <c r="X1032" s="80"/>
      <c r="Y1032" s="76" t="s">
        <v>5445</v>
      </c>
      <c r="Z1032" s="19" t="s">
        <v>7038</v>
      </c>
      <c r="AA1032" s="28" t="s">
        <v>7892</v>
      </c>
      <c r="AB1032" s="56">
        <v>43433</v>
      </c>
      <c r="AC1032" s="28" t="s">
        <v>7893</v>
      </c>
      <c r="AD1032" s="28" t="s">
        <v>7894</v>
      </c>
      <c r="AE1032" s="54" t="s">
        <v>7927</v>
      </c>
      <c r="AF1032" s="54"/>
      <c r="AG1032" s="54" t="s">
        <v>7928</v>
      </c>
      <c r="AH1032" s="53" t="s">
        <v>1591</v>
      </c>
      <c r="AI1032" s="53" t="s">
        <v>2686</v>
      </c>
      <c r="AJ1032" s="53" t="s">
        <v>1591</v>
      </c>
    </row>
    <row r="1033" spans="1:36" s="3" customFormat="1" ht="72" x14ac:dyDescent="0.25">
      <c r="A1033" s="35" t="s">
        <v>2793</v>
      </c>
      <c r="B1033" s="18" t="s">
        <v>37</v>
      </c>
      <c r="C1033" s="76" t="s">
        <v>5448</v>
      </c>
      <c r="D1033" s="45" t="s">
        <v>5449</v>
      </c>
      <c r="E1033" s="78"/>
      <c r="F1033" s="79"/>
      <c r="G1033" s="80"/>
      <c r="H1033" s="80"/>
      <c r="I1033" s="78" t="s">
        <v>63</v>
      </c>
      <c r="J1033" s="79" t="s">
        <v>167</v>
      </c>
      <c r="K1033" s="81" t="s">
        <v>5450</v>
      </c>
      <c r="L1033" s="82">
        <v>42452</v>
      </c>
      <c r="M1033" s="83">
        <v>42572</v>
      </c>
      <c r="N1033" s="80">
        <v>452474.48</v>
      </c>
      <c r="O1033" s="82">
        <v>42457</v>
      </c>
      <c r="P1033" s="84"/>
      <c r="Q1033" s="80"/>
      <c r="R1033" s="80">
        <v>452474.48</v>
      </c>
      <c r="S1033" s="80" t="s">
        <v>2104</v>
      </c>
      <c r="T1033" s="81" t="s">
        <v>45</v>
      </c>
      <c r="U1033" s="80"/>
      <c r="V1033" s="80"/>
      <c r="W1033" s="80"/>
      <c r="X1033" s="80"/>
      <c r="Y1033" s="76" t="s">
        <v>5445</v>
      </c>
      <c r="Z1033" s="19" t="s">
        <v>7038</v>
      </c>
      <c r="AA1033" s="28" t="s">
        <v>7892</v>
      </c>
      <c r="AB1033" s="56">
        <v>43433</v>
      </c>
      <c r="AC1033" s="28" t="s">
        <v>7893</v>
      </c>
      <c r="AD1033" s="28" t="s">
        <v>7894</v>
      </c>
      <c r="AE1033" s="54" t="s">
        <v>7929</v>
      </c>
      <c r="AF1033" s="54"/>
      <c r="AG1033" s="54" t="s">
        <v>7930</v>
      </c>
      <c r="AH1033" s="53" t="s">
        <v>1591</v>
      </c>
      <c r="AI1033" s="53" t="s">
        <v>2686</v>
      </c>
      <c r="AJ1033" s="53" t="s">
        <v>1591</v>
      </c>
    </row>
    <row r="1034" spans="1:36" s="3" customFormat="1" ht="48" x14ac:dyDescent="0.25">
      <c r="A1034" s="35" t="s">
        <v>2793</v>
      </c>
      <c r="B1034" s="18" t="s">
        <v>37</v>
      </c>
      <c r="C1034" s="76"/>
      <c r="D1034" s="43" t="s">
        <v>5471</v>
      </c>
      <c r="E1034" s="78"/>
      <c r="F1034" s="36" t="s">
        <v>5472</v>
      </c>
      <c r="G1034" s="80"/>
      <c r="H1034" s="80"/>
      <c r="I1034" s="36" t="s">
        <v>5097</v>
      </c>
      <c r="J1034" s="34" t="s">
        <v>5429</v>
      </c>
      <c r="K1034" s="37" t="s">
        <v>2546</v>
      </c>
      <c r="L1034" s="38">
        <v>41738</v>
      </c>
      <c r="M1034" s="39">
        <v>41858</v>
      </c>
      <c r="N1034" s="42">
        <v>333336.83</v>
      </c>
      <c r="O1034" s="82"/>
      <c r="P1034" s="86"/>
      <c r="Q1034" s="41"/>
      <c r="R1034" s="80">
        <v>333336.83</v>
      </c>
      <c r="S1034" s="80"/>
      <c r="T1034" s="81"/>
      <c r="U1034" s="80"/>
      <c r="V1034" s="80"/>
      <c r="W1034" s="42"/>
      <c r="X1034" s="42">
        <v>9830.2000000000007</v>
      </c>
      <c r="Y1034" s="34" t="s">
        <v>4321</v>
      </c>
      <c r="Z1034" s="19" t="s">
        <v>7038</v>
      </c>
      <c r="AA1034" s="28" t="s">
        <v>7892</v>
      </c>
      <c r="AB1034" s="56">
        <v>43433</v>
      </c>
      <c r="AC1034" s="28" t="s">
        <v>7893</v>
      </c>
      <c r="AD1034" s="28" t="s">
        <v>7894</v>
      </c>
      <c r="AE1034" s="54"/>
      <c r="AF1034" s="54"/>
      <c r="AG1034" s="54"/>
      <c r="AH1034" s="53"/>
      <c r="AI1034" s="53" t="s">
        <v>1591</v>
      </c>
      <c r="AJ1034" s="53" t="s">
        <v>1591</v>
      </c>
    </row>
    <row r="1035" spans="1:36" s="3" customFormat="1" ht="72" x14ac:dyDescent="0.25">
      <c r="A1035" s="35" t="s">
        <v>2793</v>
      </c>
      <c r="B1035" s="18" t="s">
        <v>37</v>
      </c>
      <c r="C1035" s="76" t="s">
        <v>5457</v>
      </c>
      <c r="D1035" s="45" t="s">
        <v>5458</v>
      </c>
      <c r="E1035" s="78" t="s">
        <v>1162</v>
      </c>
      <c r="F1035" s="79" t="s">
        <v>5459</v>
      </c>
      <c r="G1035" s="80">
        <v>4796813.21</v>
      </c>
      <c r="H1035" s="80">
        <v>119335.5</v>
      </c>
      <c r="I1035" s="78" t="s">
        <v>1172</v>
      </c>
      <c r="J1035" s="79" t="s">
        <v>5460</v>
      </c>
      <c r="K1035" s="81" t="s">
        <v>5461</v>
      </c>
      <c r="L1035" s="82">
        <v>42585</v>
      </c>
      <c r="M1035" s="83">
        <v>42705</v>
      </c>
      <c r="N1035" s="80">
        <v>270035.87</v>
      </c>
      <c r="O1035" s="82"/>
      <c r="P1035" s="84"/>
      <c r="Q1035" s="80"/>
      <c r="R1035" s="80">
        <v>270035.87</v>
      </c>
      <c r="S1035" s="80" t="s">
        <v>2104</v>
      </c>
      <c r="T1035" s="81" t="s">
        <v>45</v>
      </c>
      <c r="U1035" s="80"/>
      <c r="V1035" s="80"/>
      <c r="W1035" s="80"/>
      <c r="X1035" s="80"/>
      <c r="Y1035" s="76" t="s">
        <v>175</v>
      </c>
      <c r="Z1035" s="19" t="s">
        <v>7038</v>
      </c>
      <c r="AA1035" s="28" t="s">
        <v>7892</v>
      </c>
      <c r="AB1035" s="56">
        <v>43433</v>
      </c>
      <c r="AC1035" s="28" t="s">
        <v>7893</v>
      </c>
      <c r="AD1035" s="28" t="s">
        <v>7894</v>
      </c>
      <c r="AE1035" s="54" t="s">
        <v>7931</v>
      </c>
      <c r="AF1035" s="54"/>
      <c r="AG1035" s="54" t="s">
        <v>175</v>
      </c>
      <c r="AH1035" s="53" t="s">
        <v>1591</v>
      </c>
      <c r="AI1035" s="53" t="s">
        <v>2686</v>
      </c>
      <c r="AJ1035" s="53" t="s">
        <v>1591</v>
      </c>
    </row>
    <row r="1036" spans="1:36" s="3" customFormat="1" ht="48" x14ac:dyDescent="0.25">
      <c r="A1036" s="35" t="s">
        <v>2793</v>
      </c>
      <c r="B1036" s="18" t="s">
        <v>37</v>
      </c>
      <c r="C1036" s="76"/>
      <c r="D1036" s="43" t="s">
        <v>5473</v>
      </c>
      <c r="E1036" s="78"/>
      <c r="F1036" s="36"/>
      <c r="G1036" s="80"/>
      <c r="H1036" s="80"/>
      <c r="I1036" s="36" t="s">
        <v>5474</v>
      </c>
      <c r="J1036" s="34" t="s">
        <v>5475</v>
      </c>
      <c r="K1036" s="37" t="s">
        <v>5476</v>
      </c>
      <c r="L1036" s="38">
        <v>41820</v>
      </c>
      <c r="M1036" s="39">
        <v>41880</v>
      </c>
      <c r="N1036" s="42">
        <v>146011.51999999999</v>
      </c>
      <c r="O1036" s="82"/>
      <c r="P1036" s="86">
        <v>41880</v>
      </c>
      <c r="Q1036" s="41"/>
      <c r="R1036" s="80">
        <v>146011.51999999999</v>
      </c>
      <c r="S1036" s="80"/>
      <c r="T1036" s="81"/>
      <c r="U1036" s="80"/>
      <c r="V1036" s="80"/>
      <c r="W1036" s="42"/>
      <c r="X1036" s="42">
        <v>47939.51</v>
      </c>
      <c r="Y1036" s="34" t="s">
        <v>4321</v>
      </c>
      <c r="Z1036" s="19" t="s">
        <v>7038</v>
      </c>
      <c r="AA1036" s="28" t="s">
        <v>7892</v>
      </c>
      <c r="AB1036" s="56">
        <v>43433</v>
      </c>
      <c r="AC1036" s="28" t="s">
        <v>7893</v>
      </c>
      <c r="AD1036" s="28" t="s">
        <v>7894</v>
      </c>
      <c r="AE1036" s="54"/>
      <c r="AF1036" s="54"/>
      <c r="AG1036" s="54"/>
      <c r="AH1036" s="53"/>
      <c r="AI1036" s="53" t="s">
        <v>1591</v>
      </c>
      <c r="AJ1036" s="53" t="s">
        <v>1591</v>
      </c>
    </row>
    <row r="1037" spans="1:36" s="3" customFormat="1" ht="48" x14ac:dyDescent="0.25">
      <c r="A1037" s="35" t="s">
        <v>2793</v>
      </c>
      <c r="B1037" s="18" t="s">
        <v>37</v>
      </c>
      <c r="C1037" s="76"/>
      <c r="D1037" s="43" t="s">
        <v>5477</v>
      </c>
      <c r="E1037" s="78"/>
      <c r="F1037" s="36"/>
      <c r="G1037" s="80"/>
      <c r="H1037" s="80"/>
      <c r="I1037" s="36" t="s">
        <v>5478</v>
      </c>
      <c r="J1037" s="34" t="s">
        <v>5479</v>
      </c>
      <c r="K1037" s="37" t="s">
        <v>5480</v>
      </c>
      <c r="L1037" s="38">
        <v>41513</v>
      </c>
      <c r="M1037" s="39">
        <v>41573</v>
      </c>
      <c r="N1037" s="42">
        <v>137237.64000000001</v>
      </c>
      <c r="O1037" s="82"/>
      <c r="P1037" s="86">
        <v>41663</v>
      </c>
      <c r="Q1037" s="41"/>
      <c r="R1037" s="80">
        <v>137237.64000000001</v>
      </c>
      <c r="S1037" s="80"/>
      <c r="T1037" s="81"/>
      <c r="U1037" s="80"/>
      <c r="V1037" s="80"/>
      <c r="W1037" s="42"/>
      <c r="X1037" s="42">
        <v>116899.8</v>
      </c>
      <c r="Y1037" s="34" t="s">
        <v>4321</v>
      </c>
      <c r="Z1037" s="19" t="s">
        <v>7038</v>
      </c>
      <c r="AA1037" s="28" t="s">
        <v>7892</v>
      </c>
      <c r="AB1037" s="56">
        <v>43433</v>
      </c>
      <c r="AC1037" s="28" t="s">
        <v>7893</v>
      </c>
      <c r="AD1037" s="28" t="s">
        <v>7894</v>
      </c>
      <c r="AE1037" s="54"/>
      <c r="AF1037" s="54"/>
      <c r="AG1037" s="54"/>
      <c r="AH1037" s="53"/>
      <c r="AI1037" s="53" t="s">
        <v>1591</v>
      </c>
      <c r="AJ1037" s="53" t="s">
        <v>1591</v>
      </c>
    </row>
    <row r="1038" spans="1:36" s="3" customFormat="1" ht="60" x14ac:dyDescent="0.25">
      <c r="A1038" s="35" t="s">
        <v>2793</v>
      </c>
      <c r="B1038" s="18" t="s">
        <v>37</v>
      </c>
      <c r="C1038" s="76"/>
      <c r="D1038" s="43" t="s">
        <v>5481</v>
      </c>
      <c r="E1038" s="78"/>
      <c r="F1038" s="36"/>
      <c r="G1038" s="80"/>
      <c r="H1038" s="80"/>
      <c r="I1038" s="36" t="s">
        <v>5290</v>
      </c>
      <c r="J1038" s="34" t="s">
        <v>5482</v>
      </c>
      <c r="K1038" s="37" t="s">
        <v>5483</v>
      </c>
      <c r="L1038" s="38">
        <v>41785</v>
      </c>
      <c r="M1038" s="39">
        <v>41845</v>
      </c>
      <c r="N1038" s="42">
        <v>125132.88</v>
      </c>
      <c r="O1038" s="82"/>
      <c r="P1038" s="86">
        <v>41995</v>
      </c>
      <c r="Q1038" s="41"/>
      <c r="R1038" s="80">
        <v>125132.88</v>
      </c>
      <c r="S1038" s="80"/>
      <c r="T1038" s="81"/>
      <c r="U1038" s="80"/>
      <c r="V1038" s="80"/>
      <c r="W1038" s="42"/>
      <c r="X1038" s="42">
        <v>82039.98</v>
      </c>
      <c r="Y1038" s="34" t="s">
        <v>4321</v>
      </c>
      <c r="Z1038" s="19" t="s">
        <v>7038</v>
      </c>
      <c r="AA1038" s="28" t="s">
        <v>7892</v>
      </c>
      <c r="AB1038" s="56">
        <v>43433</v>
      </c>
      <c r="AC1038" s="28" t="s">
        <v>7893</v>
      </c>
      <c r="AD1038" s="28" t="s">
        <v>7894</v>
      </c>
      <c r="AE1038" s="54"/>
      <c r="AF1038" s="54"/>
      <c r="AG1038" s="54"/>
      <c r="AH1038" s="53"/>
      <c r="AI1038" s="53" t="s">
        <v>1591</v>
      </c>
      <c r="AJ1038" s="53" t="s">
        <v>1591</v>
      </c>
    </row>
    <row r="1039" spans="1:36" s="3" customFormat="1" ht="72" x14ac:dyDescent="0.25">
      <c r="A1039" s="17" t="s">
        <v>1452</v>
      </c>
      <c r="B1039" s="18" t="s">
        <v>37</v>
      </c>
      <c r="C1039" s="19" t="s">
        <v>1462</v>
      </c>
      <c r="D1039" s="45" t="s">
        <v>1463</v>
      </c>
      <c r="E1039" s="50" t="s">
        <v>1464</v>
      </c>
      <c r="F1039" s="58" t="s">
        <v>1457</v>
      </c>
      <c r="G1039" s="51">
        <v>1959902.25</v>
      </c>
      <c r="H1039" s="51"/>
      <c r="I1039" s="50" t="s">
        <v>494</v>
      </c>
      <c r="J1039" s="58" t="s">
        <v>1461</v>
      </c>
      <c r="K1039" s="52" t="s">
        <v>46</v>
      </c>
      <c r="L1039" s="59" t="s">
        <v>2948</v>
      </c>
      <c r="M1039" s="60">
        <f>L1039+12*30</f>
        <v>42903</v>
      </c>
      <c r="N1039" s="51">
        <v>1822638.69</v>
      </c>
      <c r="O1039" s="59" t="s">
        <v>46</v>
      </c>
      <c r="P1039" s="59" t="s">
        <v>46</v>
      </c>
      <c r="Q1039" s="51"/>
      <c r="R1039" s="51">
        <f>N1039+Q1039</f>
        <v>1822638.69</v>
      </c>
      <c r="S1039" s="51"/>
      <c r="T1039" s="52" t="s">
        <v>45</v>
      </c>
      <c r="U1039" s="51">
        <v>249796.89</v>
      </c>
      <c r="V1039" s="51"/>
      <c r="W1039" s="51">
        <v>319118.82</v>
      </c>
      <c r="X1039" s="51">
        <v>422232.48</v>
      </c>
      <c r="Y1039" s="19" t="s">
        <v>3356</v>
      </c>
      <c r="Z1039" s="19"/>
      <c r="AA1039" s="28"/>
      <c r="AB1039" s="56"/>
      <c r="AC1039" s="28"/>
      <c r="AD1039" s="28"/>
      <c r="AE1039" s="54"/>
      <c r="AF1039" s="54"/>
      <c r="AG1039" s="54"/>
      <c r="AH1039" s="53"/>
      <c r="AI1039" s="53" t="s">
        <v>1591</v>
      </c>
      <c r="AJ1039" s="53" t="s">
        <v>1591</v>
      </c>
    </row>
    <row r="1040" spans="1:36" s="3" customFormat="1" ht="48" x14ac:dyDescent="0.25">
      <c r="A1040" s="17" t="s">
        <v>1452</v>
      </c>
      <c r="B1040" s="18" t="s">
        <v>37</v>
      </c>
      <c r="C1040" s="76" t="s">
        <v>5484</v>
      </c>
      <c r="D1040" s="45" t="s">
        <v>5485</v>
      </c>
      <c r="E1040" s="78" t="s">
        <v>5486</v>
      </c>
      <c r="F1040" s="79" t="s">
        <v>5487</v>
      </c>
      <c r="G1040" s="80">
        <v>682500</v>
      </c>
      <c r="H1040" s="80">
        <v>14711.07</v>
      </c>
      <c r="I1040" s="78" t="s">
        <v>847</v>
      </c>
      <c r="J1040" s="79" t="s">
        <v>1465</v>
      </c>
      <c r="K1040" s="81" t="s">
        <v>46</v>
      </c>
      <c r="L1040" s="82" t="s">
        <v>849</v>
      </c>
      <c r="M1040" s="83"/>
      <c r="N1040" s="80">
        <v>610459.54</v>
      </c>
      <c r="O1040" s="82"/>
      <c r="P1040" s="84">
        <v>42004</v>
      </c>
      <c r="Q1040" s="80">
        <v>0</v>
      </c>
      <c r="R1040" s="80">
        <v>610459.54</v>
      </c>
      <c r="S1040" s="80"/>
      <c r="T1040" s="81" t="s">
        <v>5488</v>
      </c>
      <c r="U1040" s="80">
        <v>402400.56</v>
      </c>
      <c r="V1040" s="80"/>
      <c r="W1040" s="80"/>
      <c r="X1040" s="80">
        <v>402400.56</v>
      </c>
      <c r="Y1040" s="76" t="s">
        <v>844</v>
      </c>
      <c r="Z1040" s="19" t="s">
        <v>7038</v>
      </c>
      <c r="AA1040" s="28"/>
      <c r="AB1040" s="56"/>
      <c r="AC1040" s="28"/>
      <c r="AD1040" s="28"/>
      <c r="AE1040" s="54"/>
      <c r="AF1040" s="54"/>
      <c r="AG1040" s="54"/>
      <c r="AH1040" s="53"/>
      <c r="AI1040" s="53" t="s">
        <v>1591</v>
      </c>
      <c r="AJ1040" s="53" t="s">
        <v>1591</v>
      </c>
    </row>
    <row r="1041" spans="1:36" s="3" customFormat="1" ht="36" x14ac:dyDescent="0.25">
      <c r="A1041" s="17" t="s">
        <v>1452</v>
      </c>
      <c r="B1041" s="18" t="s">
        <v>37</v>
      </c>
      <c r="C1041" s="19" t="s">
        <v>1454</v>
      </c>
      <c r="D1041" s="45" t="s">
        <v>1455</v>
      </c>
      <c r="E1041" s="50" t="s">
        <v>1456</v>
      </c>
      <c r="F1041" s="58" t="s">
        <v>1457</v>
      </c>
      <c r="G1041" s="51">
        <v>509703.03</v>
      </c>
      <c r="H1041" s="51"/>
      <c r="I1041" s="50" t="s">
        <v>1458</v>
      </c>
      <c r="J1041" s="58" t="s">
        <v>1459</v>
      </c>
      <c r="K1041" s="52" t="s">
        <v>46</v>
      </c>
      <c r="L1041" s="59" t="s">
        <v>2929</v>
      </c>
      <c r="M1041" s="60">
        <f>L1041+120</f>
        <v>41954</v>
      </c>
      <c r="N1041" s="51">
        <v>509703.02</v>
      </c>
      <c r="O1041" s="59" t="s">
        <v>2873</v>
      </c>
      <c r="P1041" s="59" t="s">
        <v>2873</v>
      </c>
      <c r="Q1041" s="51"/>
      <c r="R1041" s="51">
        <f>N1041+Q1041</f>
        <v>509703.02</v>
      </c>
      <c r="S1041" s="51"/>
      <c r="T1041" s="52" t="s">
        <v>45</v>
      </c>
      <c r="U1041" s="51"/>
      <c r="V1041" s="51"/>
      <c r="W1041" s="51"/>
      <c r="X1041" s="51">
        <v>289648.34000000003</v>
      </c>
      <c r="Y1041" s="19" t="s">
        <v>1820</v>
      </c>
      <c r="Z1041" s="19"/>
      <c r="AA1041" s="28"/>
      <c r="AB1041" s="56"/>
      <c r="AC1041" s="28"/>
      <c r="AD1041" s="28"/>
      <c r="AE1041" s="54"/>
      <c r="AF1041" s="54"/>
      <c r="AG1041" s="54"/>
      <c r="AH1041" s="53"/>
      <c r="AI1041" s="53" t="s">
        <v>1591</v>
      </c>
      <c r="AJ1041" s="53" t="s">
        <v>1591</v>
      </c>
    </row>
    <row r="1042" spans="1:36" s="3" customFormat="1" ht="60" x14ac:dyDescent="0.25">
      <c r="A1042" s="17" t="s">
        <v>1452</v>
      </c>
      <c r="B1042" s="18" t="s">
        <v>37</v>
      </c>
      <c r="C1042" s="76" t="s">
        <v>5489</v>
      </c>
      <c r="D1042" s="45" t="s">
        <v>5490</v>
      </c>
      <c r="E1042" s="78" t="s">
        <v>5491</v>
      </c>
      <c r="F1042" s="79" t="s">
        <v>5492</v>
      </c>
      <c r="G1042" s="80">
        <v>150000</v>
      </c>
      <c r="H1042" s="80">
        <v>77951.47</v>
      </c>
      <c r="I1042" s="78" t="s">
        <v>4490</v>
      </c>
      <c r="J1042" s="79" t="s">
        <v>4491</v>
      </c>
      <c r="K1042" s="81" t="s">
        <v>46</v>
      </c>
      <c r="L1042" s="82">
        <v>40423</v>
      </c>
      <c r="M1042" s="83">
        <v>40603</v>
      </c>
      <c r="N1042" s="80">
        <v>156943.31</v>
      </c>
      <c r="O1042" s="82">
        <v>40604</v>
      </c>
      <c r="P1042" s="84">
        <v>42004</v>
      </c>
      <c r="Q1042" s="80">
        <v>0</v>
      </c>
      <c r="R1042" s="80">
        <v>156943.31</v>
      </c>
      <c r="S1042" s="80"/>
      <c r="T1042" s="81" t="s">
        <v>45</v>
      </c>
      <c r="U1042" s="80">
        <v>94288.88</v>
      </c>
      <c r="V1042" s="80"/>
      <c r="W1042" s="80"/>
      <c r="X1042" s="80">
        <v>94288.88</v>
      </c>
      <c r="Y1042" s="76" t="s">
        <v>5493</v>
      </c>
      <c r="Z1042" s="19" t="s">
        <v>7038</v>
      </c>
      <c r="AA1042" s="28"/>
      <c r="AB1042" s="56"/>
      <c r="AC1042" s="28"/>
      <c r="AD1042" s="28"/>
      <c r="AE1042" s="54"/>
      <c r="AF1042" s="54"/>
      <c r="AG1042" s="54"/>
      <c r="AH1042" s="53"/>
      <c r="AI1042" s="53" t="s">
        <v>1591</v>
      </c>
      <c r="AJ1042" s="53" t="s">
        <v>1591</v>
      </c>
    </row>
    <row r="1043" spans="1:36" s="3" customFormat="1" ht="36" x14ac:dyDescent="0.25">
      <c r="A1043" s="17" t="s">
        <v>1452</v>
      </c>
      <c r="B1043" s="18" t="s">
        <v>37</v>
      </c>
      <c r="C1043" s="76" t="s">
        <v>5494</v>
      </c>
      <c r="D1043" s="45" t="s">
        <v>5495</v>
      </c>
      <c r="E1043" s="78" t="s">
        <v>5496</v>
      </c>
      <c r="F1043" s="79" t="s">
        <v>5497</v>
      </c>
      <c r="G1043" s="80">
        <v>500000</v>
      </c>
      <c r="H1043" s="80">
        <v>14338.48</v>
      </c>
      <c r="I1043" s="78" t="s">
        <v>46</v>
      </c>
      <c r="J1043" s="79" t="s">
        <v>46</v>
      </c>
      <c r="K1043" s="81" t="s">
        <v>46</v>
      </c>
      <c r="L1043" s="82"/>
      <c r="M1043" s="83"/>
      <c r="N1043" s="80"/>
      <c r="O1043" s="82" t="s">
        <v>46</v>
      </c>
      <c r="P1043" s="84" t="s">
        <v>46</v>
      </c>
      <c r="Q1043" s="80">
        <v>0</v>
      </c>
      <c r="R1043" s="80"/>
      <c r="S1043" s="80"/>
      <c r="T1043" s="81" t="s">
        <v>45</v>
      </c>
      <c r="U1043" s="80"/>
      <c r="V1043" s="80"/>
      <c r="W1043" s="80"/>
      <c r="X1043" s="80"/>
      <c r="Y1043" s="76" t="s">
        <v>5498</v>
      </c>
      <c r="Z1043" s="19" t="s">
        <v>7038</v>
      </c>
      <c r="AA1043" s="28"/>
      <c r="AB1043" s="56"/>
      <c r="AC1043" s="28"/>
      <c r="AD1043" s="28"/>
      <c r="AE1043" s="54"/>
      <c r="AF1043" s="54"/>
      <c r="AG1043" s="54"/>
      <c r="AH1043" s="53"/>
      <c r="AI1043" s="53" t="s">
        <v>1591</v>
      </c>
      <c r="AJ1043" s="53" t="s">
        <v>1591</v>
      </c>
    </row>
    <row r="1044" spans="1:36" s="3" customFormat="1" ht="36" x14ac:dyDescent="0.25">
      <c r="A1044" s="17" t="s">
        <v>1452</v>
      </c>
      <c r="B1044" s="18" t="s">
        <v>37</v>
      </c>
      <c r="C1044" s="76" t="s">
        <v>5494</v>
      </c>
      <c r="D1044" s="45" t="s">
        <v>5499</v>
      </c>
      <c r="E1044" s="78" t="s">
        <v>46</v>
      </c>
      <c r="F1044" s="79" t="s">
        <v>1457</v>
      </c>
      <c r="G1044" s="80"/>
      <c r="H1044" s="80"/>
      <c r="I1044" s="78" t="s">
        <v>46</v>
      </c>
      <c r="J1044" s="79" t="s">
        <v>46</v>
      </c>
      <c r="K1044" s="81" t="s">
        <v>46</v>
      </c>
      <c r="L1044" s="82"/>
      <c r="M1044" s="83"/>
      <c r="N1044" s="80"/>
      <c r="O1044" s="82" t="s">
        <v>46</v>
      </c>
      <c r="P1044" s="84" t="s">
        <v>46</v>
      </c>
      <c r="Q1044" s="80">
        <v>0</v>
      </c>
      <c r="R1044" s="80"/>
      <c r="S1044" s="80"/>
      <c r="T1044" s="81" t="s">
        <v>45</v>
      </c>
      <c r="U1044" s="80"/>
      <c r="V1044" s="80"/>
      <c r="W1044" s="80"/>
      <c r="X1044" s="80"/>
      <c r="Y1044" s="76" t="s">
        <v>5500</v>
      </c>
      <c r="Z1044" s="19" t="s">
        <v>7038</v>
      </c>
      <c r="AA1044" s="28"/>
      <c r="AB1044" s="56"/>
      <c r="AC1044" s="28"/>
      <c r="AD1044" s="28"/>
      <c r="AE1044" s="54"/>
      <c r="AF1044" s="54"/>
      <c r="AG1044" s="54"/>
      <c r="AH1044" s="53"/>
      <c r="AI1044" s="53" t="s">
        <v>1591</v>
      </c>
      <c r="AJ1044" s="53" t="s">
        <v>1591</v>
      </c>
    </row>
    <row r="1045" spans="1:36" s="3" customFormat="1" ht="72" x14ac:dyDescent="0.25">
      <c r="A1045" s="35" t="s">
        <v>2720</v>
      </c>
      <c r="B1045" s="18" t="s">
        <v>37</v>
      </c>
      <c r="C1045" s="76"/>
      <c r="D1045" s="43" t="s">
        <v>5501</v>
      </c>
      <c r="E1045" s="78"/>
      <c r="F1045" s="36"/>
      <c r="G1045" s="80"/>
      <c r="H1045" s="80"/>
      <c r="I1045" s="36" t="s">
        <v>1132</v>
      </c>
      <c r="J1045" s="34" t="s">
        <v>2721</v>
      </c>
      <c r="K1045" s="37" t="s">
        <v>1248</v>
      </c>
      <c r="L1045" s="38">
        <v>41834</v>
      </c>
      <c r="M1045" s="39">
        <v>42014</v>
      </c>
      <c r="N1045" s="42">
        <v>199246.27</v>
      </c>
      <c r="O1045" s="85">
        <v>42018</v>
      </c>
      <c r="P1045" s="86">
        <v>42554</v>
      </c>
      <c r="Q1045" s="41"/>
      <c r="R1045" s="41">
        <v>199246.27</v>
      </c>
      <c r="S1045" s="80"/>
      <c r="T1045" s="81"/>
      <c r="U1045" s="80"/>
      <c r="V1045" s="80"/>
      <c r="W1045" s="42"/>
      <c r="X1045" s="42">
        <v>84430.21</v>
      </c>
      <c r="Y1045" s="34" t="s">
        <v>4321</v>
      </c>
      <c r="Z1045" s="19" t="s">
        <v>7038</v>
      </c>
      <c r="AA1045" s="28" t="s">
        <v>8473</v>
      </c>
      <c r="AB1045" s="56">
        <v>43423</v>
      </c>
      <c r="AC1045" s="28" t="s">
        <v>7932</v>
      </c>
      <c r="AD1045" s="28" t="s">
        <v>7933</v>
      </c>
      <c r="AE1045" s="54" t="s">
        <v>7934</v>
      </c>
      <c r="AF1045" s="54"/>
      <c r="AG1045" s="54" t="s">
        <v>7935</v>
      </c>
      <c r="AH1045" s="53" t="s">
        <v>1591</v>
      </c>
      <c r="AI1045" s="53" t="s">
        <v>2686</v>
      </c>
      <c r="AJ1045" s="53" t="s">
        <v>1591</v>
      </c>
    </row>
    <row r="1046" spans="1:36" s="3" customFormat="1" ht="36" x14ac:dyDescent="0.25">
      <c r="A1046" s="35" t="s">
        <v>2840</v>
      </c>
      <c r="B1046" s="18" t="s">
        <v>37</v>
      </c>
      <c r="C1046" s="76"/>
      <c r="D1046" s="43" t="s">
        <v>5503</v>
      </c>
      <c r="E1046" s="78"/>
      <c r="F1046" s="36" t="s">
        <v>1468</v>
      </c>
      <c r="G1046" s="80"/>
      <c r="H1046" s="80"/>
      <c r="I1046" s="36" t="s">
        <v>5504</v>
      </c>
      <c r="J1046" s="34" t="s">
        <v>5505</v>
      </c>
      <c r="K1046" s="37" t="s">
        <v>5506</v>
      </c>
      <c r="L1046" s="38">
        <v>41766</v>
      </c>
      <c r="M1046" s="39">
        <v>41946</v>
      </c>
      <c r="N1046" s="42">
        <v>846683.15</v>
      </c>
      <c r="O1046" s="85">
        <v>41950</v>
      </c>
      <c r="P1046" s="86">
        <v>41946</v>
      </c>
      <c r="Q1046" s="41">
        <v>0</v>
      </c>
      <c r="R1046" s="41">
        <v>846683.15</v>
      </c>
      <c r="S1046" s="80"/>
      <c r="T1046" s="81"/>
      <c r="U1046" s="80"/>
      <c r="V1046" s="80"/>
      <c r="W1046" s="42"/>
      <c r="X1046" s="42">
        <v>350865.39</v>
      </c>
      <c r="Y1046" s="34" t="s">
        <v>4321</v>
      </c>
      <c r="Z1046" s="19" t="s">
        <v>7038</v>
      </c>
      <c r="AA1046" s="28" t="s">
        <v>8407</v>
      </c>
      <c r="AB1046" s="56">
        <v>43448</v>
      </c>
      <c r="AC1046" s="28" t="s">
        <v>8408</v>
      </c>
      <c r="AD1046" s="28" t="s">
        <v>8409</v>
      </c>
      <c r="AE1046" s="54" t="s">
        <v>8413</v>
      </c>
      <c r="AF1046" s="54"/>
      <c r="AG1046" s="54" t="s">
        <v>8410</v>
      </c>
      <c r="AH1046" s="53" t="s">
        <v>1591</v>
      </c>
      <c r="AI1046" s="53" t="s">
        <v>2686</v>
      </c>
      <c r="AJ1046" s="53" t="s">
        <v>1591</v>
      </c>
    </row>
    <row r="1047" spans="1:36" s="3" customFormat="1" ht="36" x14ac:dyDescent="0.25">
      <c r="A1047" s="35" t="s">
        <v>2840</v>
      </c>
      <c r="B1047" s="18" t="s">
        <v>37</v>
      </c>
      <c r="C1047" s="76"/>
      <c r="D1047" s="43" t="s">
        <v>5507</v>
      </c>
      <c r="E1047" s="78"/>
      <c r="F1047" s="36" t="s">
        <v>5508</v>
      </c>
      <c r="G1047" s="80"/>
      <c r="H1047" s="80"/>
      <c r="I1047" s="36" t="s">
        <v>5509</v>
      </c>
      <c r="J1047" s="34" t="s">
        <v>5510</v>
      </c>
      <c r="K1047" s="37" t="s">
        <v>5511</v>
      </c>
      <c r="L1047" s="38">
        <v>41879</v>
      </c>
      <c r="M1047" s="39">
        <v>42149</v>
      </c>
      <c r="N1047" s="42">
        <v>482453.29</v>
      </c>
      <c r="O1047" s="85">
        <v>42152</v>
      </c>
      <c r="P1047" s="86">
        <v>42149</v>
      </c>
      <c r="Q1047" s="41">
        <v>0</v>
      </c>
      <c r="R1047" s="41">
        <v>482453.29</v>
      </c>
      <c r="S1047" s="80"/>
      <c r="T1047" s="81"/>
      <c r="U1047" s="80"/>
      <c r="V1047" s="80"/>
      <c r="W1047" s="42"/>
      <c r="X1047" s="42">
        <v>105000</v>
      </c>
      <c r="Y1047" s="34" t="s">
        <v>4321</v>
      </c>
      <c r="Z1047" s="19" t="s">
        <v>7038</v>
      </c>
      <c r="AA1047" s="28" t="s">
        <v>8407</v>
      </c>
      <c r="AB1047" s="56">
        <v>43448</v>
      </c>
      <c r="AC1047" s="28" t="s">
        <v>8408</v>
      </c>
      <c r="AD1047" s="28" t="s">
        <v>8409</v>
      </c>
      <c r="AE1047" s="54"/>
      <c r="AF1047" s="54"/>
      <c r="AG1047" s="54" t="s">
        <v>8411</v>
      </c>
      <c r="AH1047" s="53" t="s">
        <v>1591</v>
      </c>
      <c r="AI1047" s="53" t="s">
        <v>2686</v>
      </c>
      <c r="AJ1047" s="53" t="s">
        <v>1591</v>
      </c>
    </row>
    <row r="1048" spans="1:36" s="3" customFormat="1" ht="36" x14ac:dyDescent="0.25">
      <c r="A1048" s="17" t="s">
        <v>1466</v>
      </c>
      <c r="B1048" s="18" t="s">
        <v>37</v>
      </c>
      <c r="C1048" s="76" t="s">
        <v>5513</v>
      </c>
      <c r="D1048" s="45" t="s">
        <v>5514</v>
      </c>
      <c r="E1048" s="78" t="s">
        <v>1469</v>
      </c>
      <c r="F1048" s="79" t="s">
        <v>5515</v>
      </c>
      <c r="G1048" s="80"/>
      <c r="H1048" s="80"/>
      <c r="I1048" s="78" t="s">
        <v>1467</v>
      </c>
      <c r="J1048" s="79" t="s">
        <v>5516</v>
      </c>
      <c r="K1048" s="81" t="s">
        <v>5517</v>
      </c>
      <c r="L1048" s="82">
        <v>42009</v>
      </c>
      <c r="M1048" s="83">
        <v>42189</v>
      </c>
      <c r="N1048" s="80">
        <v>224068.46</v>
      </c>
      <c r="O1048" s="82">
        <v>42190</v>
      </c>
      <c r="P1048" s="84" t="s">
        <v>39</v>
      </c>
      <c r="Q1048" s="80">
        <v>55833.449999999983</v>
      </c>
      <c r="R1048" s="80">
        <v>279901.90999999997</v>
      </c>
      <c r="S1048" s="80">
        <v>0</v>
      </c>
      <c r="T1048" s="81" t="s">
        <v>1139</v>
      </c>
      <c r="U1048" s="80">
        <v>55833.45</v>
      </c>
      <c r="V1048" s="80"/>
      <c r="W1048" s="80"/>
      <c r="X1048" s="80">
        <v>41362.559999999998</v>
      </c>
      <c r="Y1048" s="76" t="s">
        <v>175</v>
      </c>
      <c r="Z1048" s="19" t="s">
        <v>7038</v>
      </c>
      <c r="AA1048" s="28" t="s">
        <v>8407</v>
      </c>
      <c r="AB1048" s="56">
        <v>43448</v>
      </c>
      <c r="AC1048" s="28" t="s">
        <v>8408</v>
      </c>
      <c r="AD1048" s="28" t="s">
        <v>8409</v>
      </c>
      <c r="AE1048" s="54" t="s">
        <v>8414</v>
      </c>
      <c r="AF1048" s="54"/>
      <c r="AG1048" s="54" t="s">
        <v>8412</v>
      </c>
      <c r="AH1048" s="53" t="s">
        <v>1591</v>
      </c>
      <c r="AI1048" s="53" t="s">
        <v>2686</v>
      </c>
      <c r="AJ1048" s="53" t="s">
        <v>1591</v>
      </c>
    </row>
    <row r="1049" spans="1:36" s="3" customFormat="1" ht="36" x14ac:dyDescent="0.25">
      <c r="A1049" s="17" t="s">
        <v>1466</v>
      </c>
      <c r="B1049" s="18" t="s">
        <v>37</v>
      </c>
      <c r="C1049" s="76" t="s">
        <v>5518</v>
      </c>
      <c r="D1049" s="45" t="s">
        <v>5519</v>
      </c>
      <c r="E1049" s="78" t="s">
        <v>4363</v>
      </c>
      <c r="F1049" s="79" t="s">
        <v>1468</v>
      </c>
      <c r="G1049" s="80"/>
      <c r="H1049" s="80"/>
      <c r="I1049" s="78" t="s">
        <v>5520</v>
      </c>
      <c r="J1049" s="79" t="s">
        <v>5521</v>
      </c>
      <c r="K1049" s="81" t="s">
        <v>5522</v>
      </c>
      <c r="L1049" s="82">
        <v>42207</v>
      </c>
      <c r="M1049" s="83">
        <v>42297</v>
      </c>
      <c r="N1049" s="80">
        <v>137270.41</v>
      </c>
      <c r="O1049" s="82">
        <v>42299</v>
      </c>
      <c r="P1049" s="84" t="s">
        <v>39</v>
      </c>
      <c r="Q1049" s="80">
        <v>0</v>
      </c>
      <c r="R1049" s="80">
        <v>137270.41</v>
      </c>
      <c r="S1049" s="80">
        <v>0</v>
      </c>
      <c r="T1049" s="81" t="s">
        <v>1139</v>
      </c>
      <c r="U1049" s="80">
        <v>40932.94</v>
      </c>
      <c r="V1049" s="80"/>
      <c r="W1049" s="80"/>
      <c r="X1049" s="80">
        <v>40932.94</v>
      </c>
      <c r="Y1049" s="76" t="s">
        <v>175</v>
      </c>
      <c r="Z1049" s="19" t="s">
        <v>7038</v>
      </c>
      <c r="AA1049" s="28" t="s">
        <v>8407</v>
      </c>
      <c r="AB1049" s="56">
        <v>43448</v>
      </c>
      <c r="AC1049" s="28" t="s">
        <v>8408</v>
      </c>
      <c r="AD1049" s="28" t="s">
        <v>8409</v>
      </c>
      <c r="AE1049" s="54" t="s">
        <v>8415</v>
      </c>
      <c r="AF1049" s="54"/>
      <c r="AG1049" s="54" t="s">
        <v>8412</v>
      </c>
      <c r="AH1049" s="53" t="s">
        <v>1591</v>
      </c>
      <c r="AI1049" s="53" t="s">
        <v>2686</v>
      </c>
      <c r="AJ1049" s="53" t="s">
        <v>1591</v>
      </c>
    </row>
    <row r="1050" spans="1:36" s="3" customFormat="1" ht="36" x14ac:dyDescent="0.25">
      <c r="A1050" s="17" t="s">
        <v>1466</v>
      </c>
      <c r="B1050" s="18" t="s">
        <v>37</v>
      </c>
      <c r="C1050" s="76" t="s">
        <v>662</v>
      </c>
      <c r="D1050" s="45" t="s">
        <v>5524</v>
      </c>
      <c r="E1050" s="78" t="s">
        <v>5525</v>
      </c>
      <c r="F1050" s="79" t="s">
        <v>5515</v>
      </c>
      <c r="G1050" s="80"/>
      <c r="H1050" s="80"/>
      <c r="I1050" s="78" t="s">
        <v>5526</v>
      </c>
      <c r="J1050" s="79" t="s">
        <v>5523</v>
      </c>
      <c r="K1050" s="81" t="s">
        <v>4363</v>
      </c>
      <c r="L1050" s="82" t="s">
        <v>662</v>
      </c>
      <c r="M1050" s="83" t="s">
        <v>662</v>
      </c>
      <c r="N1050" s="80"/>
      <c r="O1050" s="82" t="s">
        <v>662</v>
      </c>
      <c r="P1050" s="84" t="s">
        <v>662</v>
      </c>
      <c r="Q1050" s="80">
        <v>0</v>
      </c>
      <c r="R1050" s="80">
        <v>0</v>
      </c>
      <c r="S1050" s="80" t="s">
        <v>662</v>
      </c>
      <c r="T1050" s="81" t="s">
        <v>4611</v>
      </c>
      <c r="U1050" s="80">
        <v>77437.919999999998</v>
      </c>
      <c r="V1050" s="80"/>
      <c r="W1050" s="80"/>
      <c r="X1050" s="80">
        <v>77437.919999999998</v>
      </c>
      <c r="Y1050" s="76" t="s">
        <v>175</v>
      </c>
      <c r="Z1050" s="19" t="s">
        <v>7038</v>
      </c>
      <c r="AA1050" s="28" t="s">
        <v>8407</v>
      </c>
      <c r="AB1050" s="56">
        <v>43448</v>
      </c>
      <c r="AC1050" s="28" t="s">
        <v>8408</v>
      </c>
      <c r="AD1050" s="28" t="s">
        <v>8409</v>
      </c>
      <c r="AE1050" s="54" t="s">
        <v>8416</v>
      </c>
      <c r="AF1050" s="54"/>
      <c r="AG1050" s="54" t="s">
        <v>8412</v>
      </c>
      <c r="AH1050" s="53" t="s">
        <v>1591</v>
      </c>
      <c r="AI1050" s="53" t="s">
        <v>2686</v>
      </c>
      <c r="AJ1050" s="53" t="s">
        <v>1591</v>
      </c>
    </row>
    <row r="1051" spans="1:36" s="3" customFormat="1" ht="36" x14ac:dyDescent="0.25">
      <c r="A1051" s="17" t="s">
        <v>1466</v>
      </c>
      <c r="B1051" s="18" t="s">
        <v>37</v>
      </c>
      <c r="C1051" s="76"/>
      <c r="D1051" s="45" t="s">
        <v>5527</v>
      </c>
      <c r="E1051" s="78"/>
      <c r="F1051" s="79"/>
      <c r="G1051" s="80"/>
      <c r="H1051" s="80"/>
      <c r="I1051" s="78" t="s">
        <v>664</v>
      </c>
      <c r="J1051" s="79" t="s">
        <v>5528</v>
      </c>
      <c r="K1051" s="81"/>
      <c r="L1051" s="82"/>
      <c r="M1051" s="83"/>
      <c r="N1051" s="80"/>
      <c r="O1051" s="82"/>
      <c r="P1051" s="84"/>
      <c r="Q1051" s="80">
        <v>0</v>
      </c>
      <c r="R1051" s="80">
        <v>0</v>
      </c>
      <c r="S1051" s="80"/>
      <c r="T1051" s="81" t="s">
        <v>1139</v>
      </c>
      <c r="U1051" s="80">
        <v>65247.38</v>
      </c>
      <c r="V1051" s="80"/>
      <c r="W1051" s="80"/>
      <c r="X1051" s="80">
        <v>65247.38</v>
      </c>
      <c r="Y1051" s="76" t="s">
        <v>175</v>
      </c>
      <c r="Z1051" s="19" t="s">
        <v>7038</v>
      </c>
      <c r="AA1051" s="28" t="s">
        <v>8407</v>
      </c>
      <c r="AB1051" s="56">
        <v>43448</v>
      </c>
      <c r="AC1051" s="28" t="s">
        <v>8408</v>
      </c>
      <c r="AD1051" s="28" t="s">
        <v>8409</v>
      </c>
      <c r="AE1051" s="54" t="s">
        <v>8417</v>
      </c>
      <c r="AF1051" s="54"/>
      <c r="AG1051" s="54" t="s">
        <v>8412</v>
      </c>
      <c r="AH1051" s="53" t="s">
        <v>1591</v>
      </c>
      <c r="AI1051" s="53" t="s">
        <v>2686</v>
      </c>
      <c r="AJ1051" s="53" t="s">
        <v>1591</v>
      </c>
    </row>
    <row r="1052" spans="1:36" s="3" customFormat="1" ht="72" x14ac:dyDescent="0.25">
      <c r="A1052" s="17" t="s">
        <v>1475</v>
      </c>
      <c r="B1052" s="18" t="s">
        <v>37</v>
      </c>
      <c r="C1052" s="76" t="s">
        <v>5531</v>
      </c>
      <c r="D1052" s="45" t="s">
        <v>5532</v>
      </c>
      <c r="E1052" s="78"/>
      <c r="F1052" s="79"/>
      <c r="G1052" s="80"/>
      <c r="H1052" s="80"/>
      <c r="I1052" s="78" t="s">
        <v>61</v>
      </c>
      <c r="J1052" s="79" t="s">
        <v>1476</v>
      </c>
      <c r="K1052" s="81" t="s">
        <v>5533</v>
      </c>
      <c r="L1052" s="82">
        <v>42692</v>
      </c>
      <c r="M1052" s="83">
        <v>42992</v>
      </c>
      <c r="N1052" s="80">
        <v>3054087.39</v>
      </c>
      <c r="O1052" s="82"/>
      <c r="P1052" s="84"/>
      <c r="Q1052" s="80">
        <v>0</v>
      </c>
      <c r="R1052" s="80">
        <v>3054087.39</v>
      </c>
      <c r="S1052" s="80"/>
      <c r="T1052" s="81" t="s">
        <v>52</v>
      </c>
      <c r="U1052" s="80"/>
      <c r="V1052" s="80"/>
      <c r="W1052" s="80"/>
      <c r="X1052" s="80"/>
      <c r="Y1052" s="76" t="s">
        <v>175</v>
      </c>
      <c r="Z1052" s="19" t="s">
        <v>7038</v>
      </c>
      <c r="AA1052" s="28" t="s">
        <v>7937</v>
      </c>
      <c r="AB1052" s="56">
        <v>43434</v>
      </c>
      <c r="AC1052" s="28" t="s">
        <v>7938</v>
      </c>
      <c r="AD1052" s="28" t="s">
        <v>7939</v>
      </c>
      <c r="AE1052" s="54" t="s">
        <v>7940</v>
      </c>
      <c r="AF1052" s="54"/>
      <c r="AG1052" s="54" t="s">
        <v>7941</v>
      </c>
      <c r="AH1052" s="53" t="s">
        <v>1591</v>
      </c>
      <c r="AI1052" s="53" t="s">
        <v>2686</v>
      </c>
      <c r="AJ1052" s="53" t="s">
        <v>1591</v>
      </c>
    </row>
    <row r="1053" spans="1:36" s="3" customFormat="1" ht="72" x14ac:dyDescent="0.25">
      <c r="A1053" s="17" t="s">
        <v>1475</v>
      </c>
      <c r="B1053" s="18" t="s">
        <v>37</v>
      </c>
      <c r="C1053" s="76" t="s">
        <v>5535</v>
      </c>
      <c r="D1053" s="45" t="s">
        <v>5536</v>
      </c>
      <c r="E1053" s="78"/>
      <c r="F1053" s="79"/>
      <c r="G1053" s="80"/>
      <c r="H1053" s="80"/>
      <c r="I1053" s="78" t="s">
        <v>61</v>
      </c>
      <c r="J1053" s="79" t="s">
        <v>1476</v>
      </c>
      <c r="K1053" s="81" t="s">
        <v>5537</v>
      </c>
      <c r="L1053" s="82">
        <v>42586</v>
      </c>
      <c r="M1053" s="83">
        <v>42766</v>
      </c>
      <c r="N1053" s="80">
        <v>502358.01</v>
      </c>
      <c r="O1053" s="82"/>
      <c r="P1053" s="84" t="s">
        <v>51</v>
      </c>
      <c r="Q1053" s="80">
        <v>0</v>
      </c>
      <c r="R1053" s="80">
        <v>502358.01</v>
      </c>
      <c r="S1053" s="80"/>
      <c r="T1053" s="81" t="s">
        <v>52</v>
      </c>
      <c r="U1053" s="80"/>
      <c r="V1053" s="80"/>
      <c r="W1053" s="80"/>
      <c r="X1053" s="80"/>
      <c r="Y1053" s="76" t="s">
        <v>175</v>
      </c>
      <c r="Z1053" s="19" t="s">
        <v>7038</v>
      </c>
      <c r="AA1053" s="28" t="s">
        <v>7937</v>
      </c>
      <c r="AB1053" s="56">
        <v>43434</v>
      </c>
      <c r="AC1053" s="28" t="s">
        <v>7938</v>
      </c>
      <c r="AD1053" s="28" t="s">
        <v>7939</v>
      </c>
      <c r="AE1053" s="54" t="s">
        <v>7940</v>
      </c>
      <c r="AF1053" s="54"/>
      <c r="AG1053" s="54" t="s">
        <v>7941</v>
      </c>
      <c r="AH1053" s="53" t="s">
        <v>1591</v>
      </c>
      <c r="AI1053" s="53" t="s">
        <v>2686</v>
      </c>
      <c r="AJ1053" s="53" t="s">
        <v>1591</v>
      </c>
    </row>
    <row r="1054" spans="1:36" s="3" customFormat="1" ht="72" x14ac:dyDescent="0.25">
      <c r="A1054" s="17" t="s">
        <v>1475</v>
      </c>
      <c r="B1054" s="18" t="s">
        <v>37</v>
      </c>
      <c r="C1054" s="76" t="s">
        <v>5538</v>
      </c>
      <c r="D1054" s="45" t="s">
        <v>5539</v>
      </c>
      <c r="E1054" s="78" t="s">
        <v>278</v>
      </c>
      <c r="F1054" s="79" t="s">
        <v>5540</v>
      </c>
      <c r="G1054" s="80">
        <v>390000</v>
      </c>
      <c r="H1054" s="80">
        <v>24000</v>
      </c>
      <c r="I1054" s="78" t="s">
        <v>544</v>
      </c>
      <c r="J1054" s="79" t="s">
        <v>5541</v>
      </c>
      <c r="K1054" s="81" t="s">
        <v>4333</v>
      </c>
      <c r="L1054" s="82">
        <v>42117</v>
      </c>
      <c r="M1054" s="83">
        <v>42297</v>
      </c>
      <c r="N1054" s="80">
        <v>362972.56</v>
      </c>
      <c r="O1054" s="82"/>
      <c r="P1054" s="84"/>
      <c r="Q1054" s="80">
        <v>0</v>
      </c>
      <c r="R1054" s="80">
        <v>362972.56</v>
      </c>
      <c r="S1054" s="80"/>
      <c r="T1054" s="81" t="s">
        <v>52</v>
      </c>
      <c r="U1054" s="80"/>
      <c r="V1054" s="80"/>
      <c r="W1054" s="80"/>
      <c r="X1054" s="80"/>
      <c r="Y1054" s="76" t="s">
        <v>5542</v>
      </c>
      <c r="Z1054" s="19" t="s">
        <v>7038</v>
      </c>
      <c r="AA1054" s="28" t="s">
        <v>7937</v>
      </c>
      <c r="AB1054" s="56">
        <v>43434</v>
      </c>
      <c r="AC1054" s="28" t="s">
        <v>7938</v>
      </c>
      <c r="AD1054" s="28" t="s">
        <v>7939</v>
      </c>
      <c r="AE1054" s="54" t="s">
        <v>7940</v>
      </c>
      <c r="AF1054" s="54"/>
      <c r="AG1054" s="54" t="s">
        <v>7941</v>
      </c>
      <c r="AH1054" s="53" t="s">
        <v>1591</v>
      </c>
      <c r="AI1054" s="53" t="s">
        <v>2686</v>
      </c>
      <c r="AJ1054" s="53" t="s">
        <v>1591</v>
      </c>
    </row>
    <row r="1055" spans="1:36" s="3" customFormat="1" ht="60" x14ac:dyDescent="0.25">
      <c r="A1055" s="17" t="s">
        <v>1477</v>
      </c>
      <c r="B1055" s="18" t="s">
        <v>37</v>
      </c>
      <c r="C1055" s="19" t="s">
        <v>1279</v>
      </c>
      <c r="D1055" s="45" t="s">
        <v>1478</v>
      </c>
      <c r="E1055" s="50" t="s">
        <v>1184</v>
      </c>
      <c r="F1055" s="58" t="s">
        <v>1527</v>
      </c>
      <c r="G1055" s="51"/>
      <c r="H1055" s="51"/>
      <c r="I1055" s="50" t="s">
        <v>723</v>
      </c>
      <c r="J1055" s="58" t="s">
        <v>3215</v>
      </c>
      <c r="K1055" s="52" t="s">
        <v>3216</v>
      </c>
      <c r="L1055" s="59" t="s">
        <v>2936</v>
      </c>
      <c r="M1055" s="60">
        <f>L1055+9*30</f>
        <v>42331</v>
      </c>
      <c r="N1055" s="51">
        <v>509500.02</v>
      </c>
      <c r="O1055" s="59" t="s">
        <v>3166</v>
      </c>
      <c r="P1055" s="59"/>
      <c r="Q1055" s="51"/>
      <c r="R1055" s="51">
        <f>N1055+Q1055</f>
        <v>509500.02</v>
      </c>
      <c r="S1055" s="51"/>
      <c r="T1055" s="52" t="s">
        <v>45</v>
      </c>
      <c r="U1055" s="51">
        <v>104178.26</v>
      </c>
      <c r="V1055" s="51">
        <v>31976.97</v>
      </c>
      <c r="W1055" s="51">
        <v>72201.279999999999</v>
      </c>
      <c r="X1055" s="51">
        <v>72201.279999999999</v>
      </c>
      <c r="Y1055" s="19" t="s">
        <v>3357</v>
      </c>
      <c r="Z1055" s="19"/>
      <c r="AA1055" s="28" t="s">
        <v>8322</v>
      </c>
      <c r="AB1055" s="56">
        <v>43438</v>
      </c>
      <c r="AC1055" s="28" t="s">
        <v>8323</v>
      </c>
      <c r="AD1055" s="28" t="s">
        <v>8324</v>
      </c>
      <c r="AE1055" s="54" t="s">
        <v>8326</v>
      </c>
      <c r="AF1055" s="54"/>
      <c r="AG1055" s="54" t="s">
        <v>8325</v>
      </c>
      <c r="AH1055" s="53" t="s">
        <v>1591</v>
      </c>
      <c r="AI1055" s="53" t="s">
        <v>2686</v>
      </c>
      <c r="AJ1055" s="53" t="s">
        <v>1591</v>
      </c>
    </row>
    <row r="1056" spans="1:36" s="3" customFormat="1" ht="36" x14ac:dyDescent="0.25">
      <c r="A1056" s="17" t="s">
        <v>1477</v>
      </c>
      <c r="B1056" s="18" t="s">
        <v>37</v>
      </c>
      <c r="C1056" s="76" t="s">
        <v>5544</v>
      </c>
      <c r="D1056" s="45" t="s">
        <v>5545</v>
      </c>
      <c r="E1056" s="78" t="s">
        <v>1252</v>
      </c>
      <c r="F1056" s="79" t="s">
        <v>5546</v>
      </c>
      <c r="G1056" s="80"/>
      <c r="H1056" s="80"/>
      <c r="I1056" s="78" t="s">
        <v>1077</v>
      </c>
      <c r="J1056" s="79" t="s">
        <v>5547</v>
      </c>
      <c r="K1056" s="81" t="s">
        <v>839</v>
      </c>
      <c r="L1056" s="82">
        <v>42061</v>
      </c>
      <c r="M1056" s="83">
        <v>42241</v>
      </c>
      <c r="N1056" s="80">
        <v>304380.93</v>
      </c>
      <c r="O1056" s="82">
        <v>42242</v>
      </c>
      <c r="P1056" s="84"/>
      <c r="Q1056" s="80">
        <v>0</v>
      </c>
      <c r="R1056" s="80">
        <v>304380.93</v>
      </c>
      <c r="S1056" s="80"/>
      <c r="T1056" s="81" t="s">
        <v>45</v>
      </c>
      <c r="U1056" s="80"/>
      <c r="V1056" s="80"/>
      <c r="W1056" s="80"/>
      <c r="X1056" s="80">
        <v>241570.38</v>
      </c>
      <c r="Y1056" s="76" t="s">
        <v>142</v>
      </c>
      <c r="Z1056" s="19" t="s">
        <v>7038</v>
      </c>
      <c r="AA1056" s="28" t="s">
        <v>8322</v>
      </c>
      <c r="AB1056" s="56">
        <v>43438</v>
      </c>
      <c r="AC1056" s="28" t="s">
        <v>8323</v>
      </c>
      <c r="AD1056" s="28" t="s">
        <v>8324</v>
      </c>
      <c r="AE1056" s="54" t="s">
        <v>8328</v>
      </c>
      <c r="AF1056" s="54"/>
      <c r="AG1056" s="54" t="s">
        <v>8327</v>
      </c>
      <c r="AH1056" s="53" t="s">
        <v>1591</v>
      </c>
      <c r="AI1056" s="53" t="s">
        <v>2686</v>
      </c>
      <c r="AJ1056" s="53" t="s">
        <v>1591</v>
      </c>
    </row>
    <row r="1057" spans="1:36" s="3" customFormat="1" ht="60" x14ac:dyDescent="0.25">
      <c r="A1057" s="17" t="s">
        <v>1477</v>
      </c>
      <c r="B1057" s="18" t="s">
        <v>37</v>
      </c>
      <c r="C1057" s="76" t="s">
        <v>1316</v>
      </c>
      <c r="D1057" s="45" t="s">
        <v>5549</v>
      </c>
      <c r="E1057" s="78" t="s">
        <v>840</v>
      </c>
      <c r="F1057" s="79"/>
      <c r="G1057" s="80"/>
      <c r="H1057" s="80"/>
      <c r="I1057" s="78" t="s">
        <v>723</v>
      </c>
      <c r="J1057" s="79" t="s">
        <v>5543</v>
      </c>
      <c r="K1057" s="81" t="s">
        <v>839</v>
      </c>
      <c r="L1057" s="82">
        <v>42152</v>
      </c>
      <c r="M1057" s="83">
        <v>42332</v>
      </c>
      <c r="N1057" s="80">
        <v>214776.68</v>
      </c>
      <c r="O1057" s="82">
        <v>42336</v>
      </c>
      <c r="P1057" s="84"/>
      <c r="Q1057" s="80">
        <v>0</v>
      </c>
      <c r="R1057" s="80">
        <v>214776.68</v>
      </c>
      <c r="S1057" s="80"/>
      <c r="T1057" s="81" t="s">
        <v>45</v>
      </c>
      <c r="U1057" s="80">
        <v>88183.2</v>
      </c>
      <c r="V1057" s="80"/>
      <c r="W1057" s="80"/>
      <c r="X1057" s="80">
        <v>88183.2</v>
      </c>
      <c r="Y1057" s="76" t="s">
        <v>175</v>
      </c>
      <c r="Z1057" s="19" t="s">
        <v>7038</v>
      </c>
      <c r="AA1057" s="28" t="s">
        <v>8322</v>
      </c>
      <c r="AB1057" s="56">
        <v>43438</v>
      </c>
      <c r="AC1057" s="28" t="s">
        <v>8323</v>
      </c>
      <c r="AD1057" s="28" t="s">
        <v>8324</v>
      </c>
      <c r="AE1057" s="54"/>
      <c r="AF1057" s="54"/>
      <c r="AG1057" s="54" t="s">
        <v>8329</v>
      </c>
      <c r="AH1057" s="53" t="s">
        <v>1591</v>
      </c>
      <c r="AI1057" s="53" t="s">
        <v>2686</v>
      </c>
      <c r="AJ1057" s="53" t="s">
        <v>1591</v>
      </c>
    </row>
    <row r="1058" spans="1:36" s="3" customFormat="1" ht="60" x14ac:dyDescent="0.25">
      <c r="A1058" s="17" t="s">
        <v>1477</v>
      </c>
      <c r="B1058" s="18" t="s">
        <v>37</v>
      </c>
      <c r="C1058" s="76" t="s">
        <v>1318</v>
      </c>
      <c r="D1058" s="45" t="s">
        <v>5550</v>
      </c>
      <c r="E1058" s="78" t="s">
        <v>1479</v>
      </c>
      <c r="F1058" s="79" t="s">
        <v>955</v>
      </c>
      <c r="G1058" s="80"/>
      <c r="H1058" s="80"/>
      <c r="I1058" s="78" t="s">
        <v>723</v>
      </c>
      <c r="J1058" s="79" t="s">
        <v>5543</v>
      </c>
      <c r="K1058" s="81" t="s">
        <v>839</v>
      </c>
      <c r="L1058" s="82">
        <v>42061</v>
      </c>
      <c r="M1058" s="83">
        <v>42241</v>
      </c>
      <c r="N1058" s="80">
        <v>135667.67000000001</v>
      </c>
      <c r="O1058" s="82">
        <v>42242</v>
      </c>
      <c r="P1058" s="84"/>
      <c r="Q1058" s="80">
        <v>20038.610000000015</v>
      </c>
      <c r="R1058" s="80">
        <v>155706.28000000003</v>
      </c>
      <c r="S1058" s="80"/>
      <c r="T1058" s="81" t="s">
        <v>45</v>
      </c>
      <c r="U1058" s="80"/>
      <c r="V1058" s="80"/>
      <c r="W1058" s="80"/>
      <c r="X1058" s="80">
        <v>124498.82</v>
      </c>
      <c r="Y1058" s="76" t="s">
        <v>142</v>
      </c>
      <c r="Z1058" s="19" t="s">
        <v>7038</v>
      </c>
      <c r="AA1058" s="28" t="s">
        <v>8322</v>
      </c>
      <c r="AB1058" s="56">
        <v>43438</v>
      </c>
      <c r="AC1058" s="28" t="s">
        <v>8323</v>
      </c>
      <c r="AD1058" s="28" t="s">
        <v>8324</v>
      </c>
      <c r="AE1058" s="54" t="s">
        <v>8331</v>
      </c>
      <c r="AF1058" s="54"/>
      <c r="AG1058" s="54" t="s">
        <v>8330</v>
      </c>
      <c r="AH1058" s="53" t="s">
        <v>1591</v>
      </c>
      <c r="AI1058" s="53" t="s">
        <v>2686</v>
      </c>
      <c r="AJ1058" s="53" t="s">
        <v>1591</v>
      </c>
    </row>
    <row r="1059" spans="1:36" s="3" customFormat="1" ht="120" x14ac:dyDescent="0.25">
      <c r="A1059" s="17" t="s">
        <v>1480</v>
      </c>
      <c r="B1059" s="18" t="s">
        <v>37</v>
      </c>
      <c r="C1059" s="19" t="s">
        <v>1340</v>
      </c>
      <c r="D1059" s="45" t="s">
        <v>2901</v>
      </c>
      <c r="E1059" s="50" t="s">
        <v>694</v>
      </c>
      <c r="F1059" s="58" t="s">
        <v>43</v>
      </c>
      <c r="G1059" s="51">
        <v>856950.48</v>
      </c>
      <c r="H1059" s="51">
        <v>0</v>
      </c>
      <c r="I1059" s="50" t="s">
        <v>1547</v>
      </c>
      <c r="J1059" s="58" t="s">
        <v>2777</v>
      </c>
      <c r="K1059" s="52" t="s">
        <v>1394</v>
      </c>
      <c r="L1059" s="59">
        <v>41484</v>
      </c>
      <c r="M1059" s="60">
        <f>L1059+180</f>
        <v>41664</v>
      </c>
      <c r="N1059" s="51">
        <v>856950.48</v>
      </c>
      <c r="O1059" s="59" t="s">
        <v>39</v>
      </c>
      <c r="P1059" s="59">
        <f>M1059+1080</f>
        <v>42744</v>
      </c>
      <c r="Q1059" s="51">
        <v>105002.89</v>
      </c>
      <c r="R1059" s="51">
        <f t="shared" ref="R1059:R1067" si="42">N1059+Q1059</f>
        <v>961953.37</v>
      </c>
      <c r="S1059" s="51">
        <v>0</v>
      </c>
      <c r="T1059" s="52" t="s">
        <v>52</v>
      </c>
      <c r="U1059" s="51">
        <v>821717.83</v>
      </c>
      <c r="V1059" s="51">
        <v>0</v>
      </c>
      <c r="W1059" s="51">
        <v>0</v>
      </c>
      <c r="X1059" s="51">
        <v>821717.83</v>
      </c>
      <c r="Y1059" s="19" t="s">
        <v>3358</v>
      </c>
      <c r="Z1059" s="19"/>
      <c r="AA1059" s="28" t="s">
        <v>7268</v>
      </c>
      <c r="AB1059" s="56">
        <v>43418</v>
      </c>
      <c r="AC1059" s="28" t="s">
        <v>7942</v>
      </c>
      <c r="AD1059" s="28" t="s">
        <v>7943</v>
      </c>
      <c r="AE1059" s="54" t="s">
        <v>7944</v>
      </c>
      <c r="AF1059" s="54"/>
      <c r="AG1059" s="54" t="s">
        <v>5548</v>
      </c>
      <c r="AH1059" s="53" t="s">
        <v>1591</v>
      </c>
      <c r="AI1059" s="53" t="s">
        <v>2686</v>
      </c>
      <c r="AJ1059" s="53" t="s">
        <v>1591</v>
      </c>
    </row>
    <row r="1060" spans="1:36" s="3" customFormat="1" ht="96" x14ac:dyDescent="0.25">
      <c r="A1060" s="17" t="s">
        <v>1480</v>
      </c>
      <c r="B1060" s="18" t="s">
        <v>37</v>
      </c>
      <c r="C1060" s="19" t="s">
        <v>828</v>
      </c>
      <c r="D1060" s="45" t="s">
        <v>2906</v>
      </c>
      <c r="E1060" s="50" t="s">
        <v>2850</v>
      </c>
      <c r="F1060" s="58" t="s">
        <v>925</v>
      </c>
      <c r="G1060" s="51">
        <v>798913.14</v>
      </c>
      <c r="H1060" s="51">
        <v>0</v>
      </c>
      <c r="I1060" s="50" t="s">
        <v>1547</v>
      </c>
      <c r="J1060" s="58" t="s">
        <v>2777</v>
      </c>
      <c r="K1060" s="52" t="s">
        <v>237</v>
      </c>
      <c r="L1060" s="59">
        <v>41905</v>
      </c>
      <c r="M1060" s="60">
        <f>L1060+180</f>
        <v>42085</v>
      </c>
      <c r="N1060" s="51">
        <v>798913.14</v>
      </c>
      <c r="O1060" s="59">
        <v>42781</v>
      </c>
      <c r="P1060" s="59">
        <f>M1060+900</f>
        <v>42985</v>
      </c>
      <c r="Q1060" s="51">
        <v>3737.56</v>
      </c>
      <c r="R1060" s="51">
        <f t="shared" si="42"/>
        <v>802650.70000000007</v>
      </c>
      <c r="S1060" s="51">
        <v>0</v>
      </c>
      <c r="T1060" s="52" t="s">
        <v>52</v>
      </c>
      <c r="U1060" s="51">
        <v>373608.26</v>
      </c>
      <c r="V1060" s="51">
        <v>0</v>
      </c>
      <c r="W1060" s="51">
        <v>10250</v>
      </c>
      <c r="X1060" s="51">
        <v>373608.26</v>
      </c>
      <c r="Y1060" s="19" t="s">
        <v>3358</v>
      </c>
      <c r="Z1060" s="19"/>
      <c r="AA1060" s="28" t="s">
        <v>7268</v>
      </c>
      <c r="AB1060" s="56">
        <v>43418</v>
      </c>
      <c r="AC1060" s="28" t="s">
        <v>7942</v>
      </c>
      <c r="AD1060" s="28" t="s">
        <v>7943</v>
      </c>
      <c r="AE1060" s="54" t="s">
        <v>7946</v>
      </c>
      <c r="AF1060" s="54"/>
      <c r="AG1060" s="54" t="s">
        <v>7945</v>
      </c>
      <c r="AH1060" s="53" t="s">
        <v>1591</v>
      </c>
      <c r="AI1060" s="53" t="s">
        <v>2686</v>
      </c>
      <c r="AJ1060" s="53" t="s">
        <v>1591</v>
      </c>
    </row>
    <row r="1061" spans="1:36" s="3" customFormat="1" ht="48" x14ac:dyDescent="0.25">
      <c r="A1061" s="17" t="s">
        <v>1480</v>
      </c>
      <c r="B1061" s="18" t="s">
        <v>37</v>
      </c>
      <c r="C1061" s="19" t="s">
        <v>709</v>
      </c>
      <c r="D1061" s="45" t="s">
        <v>2903</v>
      </c>
      <c r="E1061" s="50" t="s">
        <v>2904</v>
      </c>
      <c r="F1061" s="58" t="s">
        <v>2905</v>
      </c>
      <c r="G1061" s="51">
        <v>650887.80000000005</v>
      </c>
      <c r="H1061" s="51">
        <v>0</v>
      </c>
      <c r="I1061" s="50" t="s">
        <v>1547</v>
      </c>
      <c r="J1061" s="58" t="s">
        <v>2777</v>
      </c>
      <c r="K1061" s="52" t="s">
        <v>1210</v>
      </c>
      <c r="L1061" s="59">
        <v>41905</v>
      </c>
      <c r="M1061" s="60">
        <f>L1061+120</f>
        <v>42025</v>
      </c>
      <c r="N1061" s="51">
        <v>650887.80000000005</v>
      </c>
      <c r="O1061" s="59" t="s">
        <v>39</v>
      </c>
      <c r="P1061" s="59">
        <f>M1061+720</f>
        <v>42745</v>
      </c>
      <c r="Q1061" s="51">
        <v>0</v>
      </c>
      <c r="R1061" s="51">
        <f t="shared" si="42"/>
        <v>650887.80000000005</v>
      </c>
      <c r="S1061" s="51">
        <v>0</v>
      </c>
      <c r="T1061" s="52" t="s">
        <v>52</v>
      </c>
      <c r="U1061" s="51">
        <v>365972.66</v>
      </c>
      <c r="V1061" s="51">
        <v>0</v>
      </c>
      <c r="W1061" s="51">
        <v>0</v>
      </c>
      <c r="X1061" s="51">
        <v>365972.66</v>
      </c>
      <c r="Y1061" s="19" t="s">
        <v>3358</v>
      </c>
      <c r="Z1061" s="19"/>
      <c r="AA1061" s="28" t="s">
        <v>7268</v>
      </c>
      <c r="AB1061" s="56">
        <v>43418</v>
      </c>
      <c r="AC1061" s="28" t="s">
        <v>7942</v>
      </c>
      <c r="AD1061" s="28" t="s">
        <v>7943</v>
      </c>
      <c r="AE1061" s="54" t="s">
        <v>7335</v>
      </c>
      <c r="AF1061" s="54"/>
      <c r="AG1061" s="54" t="s">
        <v>7947</v>
      </c>
      <c r="AH1061" s="53" t="s">
        <v>1591</v>
      </c>
      <c r="AI1061" s="53" t="s">
        <v>2686</v>
      </c>
      <c r="AJ1061" s="53" t="s">
        <v>1591</v>
      </c>
    </row>
    <row r="1062" spans="1:36" s="3" customFormat="1" ht="48" x14ac:dyDescent="0.25">
      <c r="A1062" s="17" t="s">
        <v>1480</v>
      </c>
      <c r="B1062" s="18" t="s">
        <v>37</v>
      </c>
      <c r="C1062" s="19" t="s">
        <v>3029</v>
      </c>
      <c r="D1062" s="45" t="s">
        <v>3040</v>
      </c>
      <c r="E1062" s="50" t="s">
        <v>2850</v>
      </c>
      <c r="F1062" s="58" t="s">
        <v>925</v>
      </c>
      <c r="G1062" s="51">
        <v>433803.94</v>
      </c>
      <c r="H1062" s="51">
        <v>0</v>
      </c>
      <c r="I1062" s="50" t="s">
        <v>3218</v>
      </c>
      <c r="J1062" s="58" t="s">
        <v>1550</v>
      </c>
      <c r="K1062" s="52" t="s">
        <v>2896</v>
      </c>
      <c r="L1062" s="59">
        <v>42895</v>
      </c>
      <c r="M1062" s="60">
        <f>L1062+180</f>
        <v>43075</v>
      </c>
      <c r="N1062" s="51">
        <v>433803.94</v>
      </c>
      <c r="O1062" s="59" t="s">
        <v>39</v>
      </c>
      <c r="P1062" s="59" t="s">
        <v>39</v>
      </c>
      <c r="Q1062" s="51">
        <v>0</v>
      </c>
      <c r="R1062" s="51">
        <f t="shared" si="42"/>
        <v>433803.94</v>
      </c>
      <c r="S1062" s="51">
        <v>0</v>
      </c>
      <c r="T1062" s="52" t="s">
        <v>52</v>
      </c>
      <c r="U1062" s="51">
        <v>0</v>
      </c>
      <c r="V1062" s="51">
        <v>0</v>
      </c>
      <c r="W1062" s="51">
        <v>0</v>
      </c>
      <c r="X1062" s="51">
        <v>0</v>
      </c>
      <c r="Y1062" s="19" t="s">
        <v>175</v>
      </c>
      <c r="Z1062" s="19"/>
      <c r="AA1062" s="28" t="s">
        <v>7268</v>
      </c>
      <c r="AB1062" s="56">
        <v>43418</v>
      </c>
      <c r="AC1062" s="28" t="s">
        <v>7942</v>
      </c>
      <c r="AD1062" s="28" t="s">
        <v>7943</v>
      </c>
      <c r="AE1062" s="54" t="s">
        <v>7948</v>
      </c>
      <c r="AF1062" s="54"/>
      <c r="AG1062" s="54" t="s">
        <v>7949</v>
      </c>
      <c r="AH1062" s="53" t="s">
        <v>1591</v>
      </c>
      <c r="AI1062" s="53" t="s">
        <v>2686</v>
      </c>
      <c r="AJ1062" s="53" t="s">
        <v>1591</v>
      </c>
    </row>
    <row r="1063" spans="1:36" s="3" customFormat="1" ht="72" x14ac:dyDescent="0.25">
      <c r="A1063" s="17" t="s">
        <v>1480</v>
      </c>
      <c r="B1063" s="18" t="s">
        <v>37</v>
      </c>
      <c r="C1063" s="19" t="s">
        <v>1589</v>
      </c>
      <c r="D1063" s="45" t="s">
        <v>2902</v>
      </c>
      <c r="E1063" s="50" t="s">
        <v>694</v>
      </c>
      <c r="F1063" s="58" t="s">
        <v>43</v>
      </c>
      <c r="G1063" s="51">
        <v>193791.98</v>
      </c>
      <c r="H1063" s="51">
        <v>0</v>
      </c>
      <c r="I1063" s="50" t="s">
        <v>1547</v>
      </c>
      <c r="J1063" s="58" t="s">
        <v>2777</v>
      </c>
      <c r="K1063" s="52" t="s">
        <v>1924</v>
      </c>
      <c r="L1063" s="59">
        <v>41544</v>
      </c>
      <c r="M1063" s="60">
        <f>L1063+150</f>
        <v>41694</v>
      </c>
      <c r="N1063" s="51">
        <v>179500</v>
      </c>
      <c r="O1063" s="59" t="s">
        <v>39</v>
      </c>
      <c r="P1063" s="59">
        <f>M1063+900</f>
        <v>42594</v>
      </c>
      <c r="Q1063" s="51">
        <v>0</v>
      </c>
      <c r="R1063" s="51">
        <f t="shared" si="42"/>
        <v>179500</v>
      </c>
      <c r="S1063" s="51">
        <v>0</v>
      </c>
      <c r="T1063" s="52" t="s">
        <v>52</v>
      </c>
      <c r="U1063" s="51">
        <v>165269.79</v>
      </c>
      <c r="V1063" s="51">
        <v>0</v>
      </c>
      <c r="W1063" s="51">
        <v>0</v>
      </c>
      <c r="X1063" s="51">
        <v>165269.79</v>
      </c>
      <c r="Y1063" s="19" t="s">
        <v>3358</v>
      </c>
      <c r="Z1063" s="19"/>
      <c r="AA1063" s="28" t="s">
        <v>7268</v>
      </c>
      <c r="AB1063" s="56">
        <v>43418</v>
      </c>
      <c r="AC1063" s="28" t="s">
        <v>7942</v>
      </c>
      <c r="AD1063" s="28" t="s">
        <v>7943</v>
      </c>
      <c r="AE1063" s="54" t="s">
        <v>7950</v>
      </c>
      <c r="AF1063" s="54"/>
      <c r="AG1063" s="54" t="s">
        <v>885</v>
      </c>
      <c r="AH1063" s="53" t="s">
        <v>1591</v>
      </c>
      <c r="AI1063" s="53" t="s">
        <v>2686</v>
      </c>
      <c r="AJ1063" s="53" t="s">
        <v>1591</v>
      </c>
    </row>
    <row r="1064" spans="1:36" s="3" customFormat="1" ht="60" x14ac:dyDescent="0.25">
      <c r="A1064" s="17" t="s">
        <v>1480</v>
      </c>
      <c r="B1064" s="18" t="s">
        <v>37</v>
      </c>
      <c r="C1064" s="19" t="s">
        <v>34</v>
      </c>
      <c r="D1064" s="45" t="s">
        <v>2911</v>
      </c>
      <c r="E1064" s="50" t="s">
        <v>39</v>
      </c>
      <c r="F1064" s="58" t="s">
        <v>2912</v>
      </c>
      <c r="G1064" s="51">
        <v>170000</v>
      </c>
      <c r="H1064" s="51">
        <v>0</v>
      </c>
      <c r="I1064" s="50" t="s">
        <v>715</v>
      </c>
      <c r="J1064" s="58" t="s">
        <v>2910</v>
      </c>
      <c r="K1064" s="52" t="s">
        <v>507</v>
      </c>
      <c r="L1064" s="59">
        <v>42493</v>
      </c>
      <c r="M1064" s="60">
        <f>L1064+90</f>
        <v>42583</v>
      </c>
      <c r="N1064" s="51">
        <v>174224.38</v>
      </c>
      <c r="O1064" s="59" t="s">
        <v>39</v>
      </c>
      <c r="P1064" s="59">
        <f>M1064+180</f>
        <v>42763</v>
      </c>
      <c r="Q1064" s="51">
        <v>0</v>
      </c>
      <c r="R1064" s="51">
        <f t="shared" si="42"/>
        <v>174224.38</v>
      </c>
      <c r="S1064" s="51">
        <v>0</v>
      </c>
      <c r="T1064" s="52" t="s">
        <v>52</v>
      </c>
      <c r="U1064" s="51">
        <v>0</v>
      </c>
      <c r="V1064" s="51">
        <v>0</v>
      </c>
      <c r="W1064" s="51">
        <v>0</v>
      </c>
      <c r="X1064" s="51">
        <v>0</v>
      </c>
      <c r="Y1064" s="19" t="s">
        <v>3358</v>
      </c>
      <c r="Z1064" s="19"/>
      <c r="AA1064" s="28" t="s">
        <v>7268</v>
      </c>
      <c r="AB1064" s="56">
        <v>43418</v>
      </c>
      <c r="AC1064" s="28" t="s">
        <v>7942</v>
      </c>
      <c r="AD1064" s="28" t="s">
        <v>7943</v>
      </c>
      <c r="AE1064" s="54" t="s">
        <v>7951</v>
      </c>
      <c r="AF1064" s="54"/>
      <c r="AG1064" s="54" t="s">
        <v>7474</v>
      </c>
      <c r="AH1064" s="53" t="s">
        <v>1591</v>
      </c>
      <c r="AI1064" s="53" t="s">
        <v>2686</v>
      </c>
      <c r="AJ1064" s="53" t="s">
        <v>1591</v>
      </c>
    </row>
    <row r="1065" spans="1:36" s="3" customFormat="1" ht="60" x14ac:dyDescent="0.25">
      <c r="A1065" s="17" t="s">
        <v>1480</v>
      </c>
      <c r="B1065" s="18" t="s">
        <v>37</v>
      </c>
      <c r="C1065" s="19" t="s">
        <v>3041</v>
      </c>
      <c r="D1065" s="45" t="s">
        <v>3042</v>
      </c>
      <c r="E1065" s="50" t="s">
        <v>39</v>
      </c>
      <c r="F1065" s="58" t="s">
        <v>1453</v>
      </c>
      <c r="G1065" s="51">
        <v>0</v>
      </c>
      <c r="H1065" s="51">
        <v>0</v>
      </c>
      <c r="I1065" s="50" t="s">
        <v>700</v>
      </c>
      <c r="J1065" s="58" t="s">
        <v>2907</v>
      </c>
      <c r="K1065" s="52" t="s">
        <v>3196</v>
      </c>
      <c r="L1065" s="59">
        <v>42956</v>
      </c>
      <c r="M1065" s="60">
        <f>L1065+90</f>
        <v>43046</v>
      </c>
      <c r="N1065" s="51">
        <v>145222.01</v>
      </c>
      <c r="O1065" s="59" t="s">
        <v>39</v>
      </c>
      <c r="P1065" s="59" t="s">
        <v>39</v>
      </c>
      <c r="Q1065" s="51">
        <v>0</v>
      </c>
      <c r="R1065" s="51">
        <f t="shared" si="42"/>
        <v>145222.01</v>
      </c>
      <c r="S1065" s="51">
        <v>0</v>
      </c>
      <c r="T1065" s="52" t="s">
        <v>52</v>
      </c>
      <c r="U1065" s="51">
        <v>0</v>
      </c>
      <c r="V1065" s="51">
        <v>0</v>
      </c>
      <c r="W1065" s="51">
        <v>0</v>
      </c>
      <c r="X1065" s="51">
        <v>0</v>
      </c>
      <c r="Y1065" s="19" t="s">
        <v>175</v>
      </c>
      <c r="Z1065" s="19"/>
      <c r="AA1065" s="28" t="s">
        <v>7268</v>
      </c>
      <c r="AB1065" s="56">
        <v>43418</v>
      </c>
      <c r="AC1065" s="28" t="s">
        <v>7942</v>
      </c>
      <c r="AD1065" s="28" t="s">
        <v>7943</v>
      </c>
      <c r="AE1065" s="54" t="s">
        <v>7951</v>
      </c>
      <c r="AF1065" s="54"/>
      <c r="AG1065" s="54" t="s">
        <v>4462</v>
      </c>
      <c r="AH1065" s="53" t="s">
        <v>1591</v>
      </c>
      <c r="AI1065" s="53" t="s">
        <v>2686</v>
      </c>
      <c r="AJ1065" s="53" t="s">
        <v>1591</v>
      </c>
    </row>
    <row r="1066" spans="1:36" s="3" customFormat="1" ht="36" x14ac:dyDescent="0.25">
      <c r="A1066" s="17" t="s">
        <v>1480</v>
      </c>
      <c r="B1066" s="18" t="s">
        <v>37</v>
      </c>
      <c r="C1066" s="19" t="s">
        <v>1093</v>
      </c>
      <c r="D1066" s="45" t="s">
        <v>3039</v>
      </c>
      <c r="E1066" s="50" t="s">
        <v>39</v>
      </c>
      <c r="F1066" s="58" t="s">
        <v>1453</v>
      </c>
      <c r="G1066" s="51">
        <v>0</v>
      </c>
      <c r="H1066" s="51">
        <v>0</v>
      </c>
      <c r="I1066" s="50" t="s">
        <v>1344</v>
      </c>
      <c r="J1066" s="58" t="s">
        <v>2908</v>
      </c>
      <c r="K1066" s="52" t="s">
        <v>835</v>
      </c>
      <c r="L1066" s="59">
        <v>42177</v>
      </c>
      <c r="M1066" s="60">
        <f>L1066+365</f>
        <v>42542</v>
      </c>
      <c r="N1066" s="51">
        <v>133209.20000000001</v>
      </c>
      <c r="O1066" s="59" t="s">
        <v>39</v>
      </c>
      <c r="P1066" s="59">
        <f>M1066+360</f>
        <v>42902</v>
      </c>
      <c r="Q1066" s="51">
        <v>0</v>
      </c>
      <c r="R1066" s="51">
        <f t="shared" si="42"/>
        <v>133209.20000000001</v>
      </c>
      <c r="S1066" s="51">
        <v>0</v>
      </c>
      <c r="T1066" s="52" t="s">
        <v>52</v>
      </c>
      <c r="U1066" s="51">
        <v>11943.9</v>
      </c>
      <c r="V1066" s="51">
        <v>0</v>
      </c>
      <c r="W1066" s="51">
        <v>0</v>
      </c>
      <c r="X1066" s="51">
        <v>11943.9</v>
      </c>
      <c r="Y1066" s="19" t="s">
        <v>157</v>
      </c>
      <c r="Z1066" s="19"/>
      <c r="AA1066" s="28" t="s">
        <v>7268</v>
      </c>
      <c r="AB1066" s="56">
        <v>43418</v>
      </c>
      <c r="AC1066" s="28" t="s">
        <v>7942</v>
      </c>
      <c r="AD1066" s="28" t="s">
        <v>7943</v>
      </c>
      <c r="AE1066" s="54" t="s">
        <v>7952</v>
      </c>
      <c r="AF1066" s="54"/>
      <c r="AG1066" s="54" t="s">
        <v>7953</v>
      </c>
      <c r="AH1066" s="53" t="s">
        <v>1591</v>
      </c>
      <c r="AI1066" s="53" t="s">
        <v>2686</v>
      </c>
      <c r="AJ1066" s="53" t="s">
        <v>1591</v>
      </c>
    </row>
    <row r="1067" spans="1:36" s="3" customFormat="1" ht="36" x14ac:dyDescent="0.25">
      <c r="A1067" s="17" t="s">
        <v>1480</v>
      </c>
      <c r="B1067" s="18" t="s">
        <v>37</v>
      </c>
      <c r="C1067" s="19" t="s">
        <v>1048</v>
      </c>
      <c r="D1067" s="45" t="s">
        <v>2909</v>
      </c>
      <c r="E1067" s="50" t="s">
        <v>39</v>
      </c>
      <c r="F1067" s="58" t="s">
        <v>1453</v>
      </c>
      <c r="G1067" s="51">
        <v>0</v>
      </c>
      <c r="H1067" s="51">
        <v>0</v>
      </c>
      <c r="I1067" s="50" t="s">
        <v>700</v>
      </c>
      <c r="J1067" s="58" t="s">
        <v>2907</v>
      </c>
      <c r="K1067" s="52" t="s">
        <v>1068</v>
      </c>
      <c r="L1067" s="59">
        <v>42177</v>
      </c>
      <c r="M1067" s="60">
        <f>L1067+365</f>
        <v>42542</v>
      </c>
      <c r="N1067" s="51">
        <v>129978.4</v>
      </c>
      <c r="O1067" s="59" t="s">
        <v>39</v>
      </c>
      <c r="P1067" s="59">
        <f>M1067+360</f>
        <v>42902</v>
      </c>
      <c r="Q1067" s="51">
        <v>0</v>
      </c>
      <c r="R1067" s="51">
        <f t="shared" si="42"/>
        <v>129978.4</v>
      </c>
      <c r="S1067" s="51">
        <v>0</v>
      </c>
      <c r="T1067" s="52" t="s">
        <v>52</v>
      </c>
      <c r="U1067" s="51">
        <v>38945.870000000003</v>
      </c>
      <c r="V1067" s="51">
        <v>0</v>
      </c>
      <c r="W1067" s="51">
        <v>0</v>
      </c>
      <c r="X1067" s="51">
        <v>38945.870000000003</v>
      </c>
      <c r="Y1067" s="19" t="s">
        <v>175</v>
      </c>
      <c r="Z1067" s="19"/>
      <c r="AA1067" s="28" t="s">
        <v>7268</v>
      </c>
      <c r="AB1067" s="56">
        <v>43418</v>
      </c>
      <c r="AC1067" s="28" t="s">
        <v>7942</v>
      </c>
      <c r="AD1067" s="28" t="s">
        <v>7943</v>
      </c>
      <c r="AE1067" s="54" t="s">
        <v>7954</v>
      </c>
      <c r="AF1067" s="54"/>
      <c r="AG1067" s="54"/>
      <c r="AH1067" s="53" t="s">
        <v>1591</v>
      </c>
      <c r="AI1067" s="53" t="s">
        <v>2686</v>
      </c>
      <c r="AJ1067" s="53" t="s">
        <v>1591</v>
      </c>
    </row>
    <row r="1068" spans="1:36" s="3" customFormat="1" ht="48" x14ac:dyDescent="0.25">
      <c r="A1068" s="35" t="s">
        <v>2778</v>
      </c>
      <c r="B1068" s="34" t="s">
        <v>1213</v>
      </c>
      <c r="C1068" s="76"/>
      <c r="D1068" s="43" t="s">
        <v>5558</v>
      </c>
      <c r="E1068" s="78"/>
      <c r="F1068" s="36" t="s">
        <v>1004</v>
      </c>
      <c r="G1068" s="80"/>
      <c r="H1068" s="80"/>
      <c r="I1068" s="36" t="s">
        <v>58</v>
      </c>
      <c r="J1068" s="34" t="s">
        <v>5559</v>
      </c>
      <c r="K1068" s="37" t="s">
        <v>5560</v>
      </c>
      <c r="L1068" s="38">
        <v>41754</v>
      </c>
      <c r="M1068" s="39">
        <v>41904</v>
      </c>
      <c r="N1068" s="42">
        <v>236924.83</v>
      </c>
      <c r="O1068" s="85"/>
      <c r="P1068" s="86">
        <v>42369</v>
      </c>
      <c r="Q1068" s="41"/>
      <c r="R1068" s="41">
        <v>236924.83</v>
      </c>
      <c r="S1068" s="80"/>
      <c r="T1068" s="81"/>
      <c r="U1068" s="80"/>
      <c r="V1068" s="80"/>
      <c r="W1068" s="42"/>
      <c r="X1068" s="42">
        <v>45145.07</v>
      </c>
      <c r="Y1068" s="34" t="s">
        <v>4321</v>
      </c>
      <c r="Z1068" s="19" t="s">
        <v>7038</v>
      </c>
      <c r="AA1068" s="28" t="s">
        <v>7955</v>
      </c>
      <c r="AB1068" s="56">
        <v>43411</v>
      </c>
      <c r="AC1068" s="28" t="s">
        <v>7956</v>
      </c>
      <c r="AD1068" s="28" t="s">
        <v>7957</v>
      </c>
      <c r="AE1068" s="54" t="s">
        <v>7958</v>
      </c>
      <c r="AF1068" s="54"/>
      <c r="AG1068" s="54" t="s">
        <v>7959</v>
      </c>
      <c r="AH1068" s="53" t="s">
        <v>1591</v>
      </c>
      <c r="AI1068" s="53" t="s">
        <v>2686</v>
      </c>
      <c r="AJ1068" s="53" t="s">
        <v>1591</v>
      </c>
    </row>
    <row r="1069" spans="1:36" s="3" customFormat="1" ht="84" x14ac:dyDescent="0.25">
      <c r="A1069" s="17" t="s">
        <v>1484</v>
      </c>
      <c r="B1069" s="18" t="s">
        <v>37</v>
      </c>
      <c r="C1069" s="19" t="s">
        <v>1490</v>
      </c>
      <c r="D1069" s="45" t="s">
        <v>1491</v>
      </c>
      <c r="E1069" s="50" t="s">
        <v>1492</v>
      </c>
      <c r="F1069" s="58" t="s">
        <v>661</v>
      </c>
      <c r="G1069" s="51"/>
      <c r="H1069" s="51"/>
      <c r="I1069" s="50" t="s">
        <v>1493</v>
      </c>
      <c r="J1069" s="58" t="s">
        <v>1494</v>
      </c>
      <c r="K1069" s="52" t="s">
        <v>1495</v>
      </c>
      <c r="L1069" s="59">
        <v>41900</v>
      </c>
      <c r="M1069" s="60">
        <f>L1069+150</f>
        <v>42050</v>
      </c>
      <c r="N1069" s="51">
        <v>870427.68</v>
      </c>
      <c r="O1069" s="59">
        <v>42669</v>
      </c>
      <c r="P1069" s="59">
        <f>M1069+10*30</f>
        <v>42350</v>
      </c>
      <c r="Q1069" s="51">
        <v>35196.519999999997</v>
      </c>
      <c r="R1069" s="51">
        <f>N1069+Q1069</f>
        <v>905624.20000000007</v>
      </c>
      <c r="S1069" s="51"/>
      <c r="T1069" s="52" t="s">
        <v>907</v>
      </c>
      <c r="U1069" s="51">
        <v>905624.2</v>
      </c>
      <c r="V1069" s="51">
        <v>0</v>
      </c>
      <c r="W1069" s="51">
        <v>0</v>
      </c>
      <c r="X1069" s="51">
        <v>771342.29</v>
      </c>
      <c r="Y1069" s="19" t="s">
        <v>149</v>
      </c>
      <c r="Z1069" s="19"/>
      <c r="AA1069" s="28" t="s">
        <v>7960</v>
      </c>
      <c r="AB1069" s="56">
        <v>43434</v>
      </c>
      <c r="AC1069" s="28" t="s">
        <v>7961</v>
      </c>
      <c r="AD1069" s="28" t="s">
        <v>7962</v>
      </c>
      <c r="AE1069" s="54" t="s">
        <v>7963</v>
      </c>
      <c r="AF1069" s="54"/>
      <c r="AG1069" s="54" t="s">
        <v>7964</v>
      </c>
      <c r="AH1069" s="53" t="s">
        <v>1591</v>
      </c>
      <c r="AI1069" s="53" t="s">
        <v>2686</v>
      </c>
      <c r="AJ1069" s="53" t="s">
        <v>1591</v>
      </c>
    </row>
    <row r="1070" spans="1:36" s="3" customFormat="1" ht="60" x14ac:dyDescent="0.25">
      <c r="A1070" s="17" t="s">
        <v>1484</v>
      </c>
      <c r="B1070" s="18" t="s">
        <v>37</v>
      </c>
      <c r="C1070" s="19" t="s">
        <v>3043</v>
      </c>
      <c r="D1070" s="45" t="s">
        <v>3044</v>
      </c>
      <c r="E1070" s="50"/>
      <c r="F1070" s="58"/>
      <c r="G1070" s="51"/>
      <c r="H1070" s="51"/>
      <c r="I1070" s="50" t="s">
        <v>3220</v>
      </c>
      <c r="J1070" s="58" t="s">
        <v>3221</v>
      </c>
      <c r="K1070" s="52" t="s">
        <v>3222</v>
      </c>
      <c r="L1070" s="59">
        <v>42552</v>
      </c>
      <c r="M1070" s="60">
        <f>L1070+210</f>
        <v>42762</v>
      </c>
      <c r="N1070" s="51">
        <v>593886.04</v>
      </c>
      <c r="O1070" s="59"/>
      <c r="P1070" s="59"/>
      <c r="Q1070" s="51"/>
      <c r="R1070" s="51">
        <f>N1070+Q1070</f>
        <v>593886.04</v>
      </c>
      <c r="S1070" s="51"/>
      <c r="T1070" s="52" t="s">
        <v>3359</v>
      </c>
      <c r="U1070" s="51">
        <v>198415.28</v>
      </c>
      <c r="V1070" s="51">
        <v>0</v>
      </c>
      <c r="W1070" s="51">
        <v>0</v>
      </c>
      <c r="X1070" s="51">
        <v>126636.11</v>
      </c>
      <c r="Y1070" s="19" t="s">
        <v>175</v>
      </c>
      <c r="Z1070" s="19"/>
      <c r="AA1070" s="28" t="s">
        <v>7960</v>
      </c>
      <c r="AB1070" s="56">
        <v>43434</v>
      </c>
      <c r="AC1070" s="28" t="s">
        <v>7961</v>
      </c>
      <c r="AD1070" s="28" t="s">
        <v>7962</v>
      </c>
      <c r="AE1070" s="54" t="s">
        <v>7965</v>
      </c>
      <c r="AF1070" s="54"/>
      <c r="AG1070" s="54" t="s">
        <v>7966</v>
      </c>
      <c r="AH1070" s="53" t="s">
        <v>1591</v>
      </c>
      <c r="AI1070" s="53" t="s">
        <v>2686</v>
      </c>
      <c r="AJ1070" s="53" t="s">
        <v>1591</v>
      </c>
    </row>
    <row r="1071" spans="1:36" s="3" customFormat="1" ht="60" x14ac:dyDescent="0.25">
      <c r="A1071" s="17" t="s">
        <v>1484</v>
      </c>
      <c r="B1071" s="18" t="s">
        <v>37</v>
      </c>
      <c r="C1071" s="19" t="s">
        <v>1485</v>
      </c>
      <c r="D1071" s="45" t="s">
        <v>1486</v>
      </c>
      <c r="E1071" s="50" t="s">
        <v>1487</v>
      </c>
      <c r="F1071" s="58" t="s">
        <v>112</v>
      </c>
      <c r="G1071" s="51">
        <v>378740.8</v>
      </c>
      <c r="H1071" s="51">
        <v>21259.200000000001</v>
      </c>
      <c r="I1071" s="50" t="s">
        <v>519</v>
      </c>
      <c r="J1071" s="58" t="s">
        <v>678</v>
      </c>
      <c r="K1071" s="52" t="s">
        <v>1488</v>
      </c>
      <c r="L1071" s="59">
        <v>40675</v>
      </c>
      <c r="M1071" s="60">
        <f>L1071+180</f>
        <v>40855</v>
      </c>
      <c r="N1071" s="51">
        <v>395106.71</v>
      </c>
      <c r="O1071" s="59">
        <v>42963</v>
      </c>
      <c r="P1071" s="59">
        <f>M1071+62*30</f>
        <v>42715</v>
      </c>
      <c r="Q1071" s="51"/>
      <c r="R1071" s="51">
        <f>N1071+Q1071</f>
        <v>395106.71</v>
      </c>
      <c r="S1071" s="51">
        <v>46233.59</v>
      </c>
      <c r="T1071" s="52" t="s">
        <v>1489</v>
      </c>
      <c r="U1071" s="51">
        <v>318605.919090221</v>
      </c>
      <c r="V1071" s="51">
        <v>55673.1</v>
      </c>
      <c r="W1071" s="51">
        <v>55673.1</v>
      </c>
      <c r="X1071" s="51">
        <v>318605.919090221</v>
      </c>
      <c r="Y1071" s="19" t="s">
        <v>175</v>
      </c>
      <c r="Z1071" s="19"/>
      <c r="AA1071" s="28" t="s">
        <v>7960</v>
      </c>
      <c r="AB1071" s="56">
        <v>43434</v>
      </c>
      <c r="AC1071" s="28" t="s">
        <v>7961</v>
      </c>
      <c r="AD1071" s="28" t="s">
        <v>7962</v>
      </c>
      <c r="AE1071" s="54" t="s">
        <v>7967</v>
      </c>
      <c r="AF1071" s="54"/>
      <c r="AG1071" s="54" t="s">
        <v>7968</v>
      </c>
      <c r="AH1071" s="53" t="s">
        <v>1591</v>
      </c>
      <c r="AI1071" s="53" t="s">
        <v>2686</v>
      </c>
      <c r="AJ1071" s="53" t="s">
        <v>1591</v>
      </c>
    </row>
    <row r="1072" spans="1:36" s="3" customFormat="1" ht="120" x14ac:dyDescent="0.25">
      <c r="A1072" s="35" t="s">
        <v>2768</v>
      </c>
      <c r="B1072" s="18" t="s">
        <v>37</v>
      </c>
      <c r="C1072" s="76"/>
      <c r="D1072" s="43" t="s">
        <v>5562</v>
      </c>
      <c r="E1072" s="78"/>
      <c r="F1072" s="36"/>
      <c r="G1072" s="80"/>
      <c r="H1072" s="80"/>
      <c r="I1072" s="36" t="s">
        <v>5563</v>
      </c>
      <c r="J1072" s="34" t="s">
        <v>5564</v>
      </c>
      <c r="K1072" s="37" t="s">
        <v>5565</v>
      </c>
      <c r="L1072" s="38">
        <v>42332</v>
      </c>
      <c r="M1072" s="39">
        <v>42452</v>
      </c>
      <c r="N1072" s="42">
        <v>294814.81</v>
      </c>
      <c r="O1072" s="85"/>
      <c r="P1072" s="86">
        <v>42452</v>
      </c>
      <c r="Q1072" s="41"/>
      <c r="R1072" s="41">
        <v>294814.81</v>
      </c>
      <c r="S1072" s="80"/>
      <c r="T1072" s="81"/>
      <c r="U1072" s="80"/>
      <c r="V1072" s="80"/>
      <c r="W1072" s="42"/>
      <c r="X1072" s="42"/>
      <c r="Y1072" s="34" t="s">
        <v>4321</v>
      </c>
      <c r="Z1072" s="19" t="s">
        <v>7038</v>
      </c>
      <c r="AA1072" s="28" t="s">
        <v>7960</v>
      </c>
      <c r="AB1072" s="56">
        <v>43434</v>
      </c>
      <c r="AC1072" s="28" t="s">
        <v>7961</v>
      </c>
      <c r="AD1072" s="28" t="s">
        <v>7962</v>
      </c>
      <c r="AE1072" s="54" t="s">
        <v>7969</v>
      </c>
      <c r="AF1072" s="54"/>
      <c r="AG1072" s="54" t="s">
        <v>7970</v>
      </c>
      <c r="AH1072" s="53" t="s">
        <v>1591</v>
      </c>
      <c r="AI1072" s="53" t="s">
        <v>2686</v>
      </c>
      <c r="AJ1072" s="53" t="s">
        <v>1591</v>
      </c>
    </row>
    <row r="1073" spans="1:36" s="3" customFormat="1" ht="36" x14ac:dyDescent="0.25">
      <c r="A1073" s="35" t="s">
        <v>2768</v>
      </c>
      <c r="B1073" s="18" t="s">
        <v>37</v>
      </c>
      <c r="C1073" s="76"/>
      <c r="D1073" s="43" t="s">
        <v>5567</v>
      </c>
      <c r="E1073" s="78"/>
      <c r="F1073" s="36" t="s">
        <v>5161</v>
      </c>
      <c r="G1073" s="80"/>
      <c r="H1073" s="80"/>
      <c r="I1073" s="36" t="s">
        <v>5568</v>
      </c>
      <c r="J1073" s="34" t="s">
        <v>5569</v>
      </c>
      <c r="K1073" s="37" t="s">
        <v>5570</v>
      </c>
      <c r="L1073" s="38">
        <v>41960</v>
      </c>
      <c r="M1073" s="39">
        <v>42050</v>
      </c>
      <c r="N1073" s="42">
        <v>243283.54</v>
      </c>
      <c r="O1073" s="85"/>
      <c r="P1073" s="86">
        <v>42050</v>
      </c>
      <c r="Q1073" s="41"/>
      <c r="R1073" s="41">
        <v>243283.54</v>
      </c>
      <c r="S1073" s="80"/>
      <c r="T1073" s="81"/>
      <c r="U1073" s="80"/>
      <c r="V1073" s="80"/>
      <c r="W1073" s="42"/>
      <c r="X1073" s="42"/>
      <c r="Y1073" s="34" t="s">
        <v>4321</v>
      </c>
      <c r="Z1073" s="19" t="s">
        <v>7038</v>
      </c>
      <c r="AA1073" s="28" t="s">
        <v>7960</v>
      </c>
      <c r="AB1073" s="56">
        <v>43434</v>
      </c>
      <c r="AC1073" s="28" t="s">
        <v>7961</v>
      </c>
      <c r="AD1073" s="28" t="s">
        <v>7962</v>
      </c>
      <c r="AE1073" s="54" t="s">
        <v>7971</v>
      </c>
      <c r="AF1073" s="54"/>
      <c r="AG1073" s="54" t="s">
        <v>7972</v>
      </c>
      <c r="AH1073" s="53" t="s">
        <v>1591</v>
      </c>
      <c r="AI1073" s="53" t="s">
        <v>2686</v>
      </c>
      <c r="AJ1073" s="53" t="s">
        <v>1591</v>
      </c>
    </row>
    <row r="1074" spans="1:36" s="3" customFormat="1" ht="84" x14ac:dyDescent="0.25">
      <c r="A1074" s="35" t="s">
        <v>2768</v>
      </c>
      <c r="B1074" s="18" t="s">
        <v>37</v>
      </c>
      <c r="C1074" s="76"/>
      <c r="D1074" s="43" t="s">
        <v>5571</v>
      </c>
      <c r="E1074" s="78"/>
      <c r="F1074" s="36"/>
      <c r="G1074" s="80"/>
      <c r="H1074" s="80"/>
      <c r="I1074" s="36" t="s">
        <v>5572</v>
      </c>
      <c r="J1074" s="34" t="s">
        <v>5573</v>
      </c>
      <c r="K1074" s="37" t="s">
        <v>5574</v>
      </c>
      <c r="L1074" s="38">
        <v>41722</v>
      </c>
      <c r="M1074" s="39">
        <v>41782</v>
      </c>
      <c r="N1074" s="42">
        <v>98060.07</v>
      </c>
      <c r="O1074" s="85">
        <v>41838</v>
      </c>
      <c r="P1074" s="86">
        <v>41842</v>
      </c>
      <c r="Q1074" s="41"/>
      <c r="R1074" s="41">
        <v>98060.07</v>
      </c>
      <c r="S1074" s="80"/>
      <c r="T1074" s="81"/>
      <c r="U1074" s="80"/>
      <c r="V1074" s="80"/>
      <c r="W1074" s="42"/>
      <c r="X1074" s="42">
        <v>56896.4</v>
      </c>
      <c r="Y1074" s="34" t="s">
        <v>4321</v>
      </c>
      <c r="Z1074" s="19" t="s">
        <v>7038</v>
      </c>
      <c r="AA1074" s="28" t="s">
        <v>7960</v>
      </c>
      <c r="AB1074" s="56">
        <v>43434</v>
      </c>
      <c r="AC1074" s="28" t="s">
        <v>7961</v>
      </c>
      <c r="AD1074" s="28" t="s">
        <v>7962</v>
      </c>
      <c r="AE1074" s="54" t="s">
        <v>7973</v>
      </c>
      <c r="AF1074" s="54"/>
      <c r="AG1074" s="54" t="s">
        <v>7974</v>
      </c>
      <c r="AH1074" s="53" t="s">
        <v>1591</v>
      </c>
      <c r="AI1074" s="53" t="s">
        <v>2686</v>
      </c>
      <c r="AJ1074" s="53" t="s">
        <v>1591</v>
      </c>
    </row>
    <row r="1075" spans="1:36" s="3" customFormat="1" ht="108" x14ac:dyDescent="0.25">
      <c r="A1075" s="17" t="s">
        <v>1484</v>
      </c>
      <c r="B1075" s="18" t="s">
        <v>37</v>
      </c>
      <c r="C1075" s="76" t="s">
        <v>5575</v>
      </c>
      <c r="D1075" s="45" t="s">
        <v>5576</v>
      </c>
      <c r="E1075" s="78"/>
      <c r="F1075" s="79"/>
      <c r="G1075" s="80"/>
      <c r="H1075" s="80"/>
      <c r="I1075" s="78" t="s">
        <v>5563</v>
      </c>
      <c r="J1075" s="79" t="s">
        <v>5564</v>
      </c>
      <c r="K1075" s="81" t="s">
        <v>5577</v>
      </c>
      <c r="L1075" s="82">
        <v>42186</v>
      </c>
      <c r="M1075" s="83">
        <v>42246</v>
      </c>
      <c r="N1075" s="80">
        <v>63126.16</v>
      </c>
      <c r="O1075" s="82"/>
      <c r="P1075" s="84"/>
      <c r="Q1075" s="80">
        <v>0</v>
      </c>
      <c r="R1075" s="80">
        <v>63126.16</v>
      </c>
      <c r="S1075" s="80"/>
      <c r="T1075" s="81" t="s">
        <v>907</v>
      </c>
      <c r="U1075" s="80">
        <v>58745.64</v>
      </c>
      <c r="V1075" s="80"/>
      <c r="W1075" s="80"/>
      <c r="X1075" s="80">
        <v>58745.64</v>
      </c>
      <c r="Y1075" s="76" t="s">
        <v>498</v>
      </c>
      <c r="Z1075" s="19" t="s">
        <v>7038</v>
      </c>
      <c r="AA1075" s="28" t="s">
        <v>7960</v>
      </c>
      <c r="AB1075" s="56">
        <v>43434</v>
      </c>
      <c r="AC1075" s="28" t="s">
        <v>7961</v>
      </c>
      <c r="AD1075" s="28" t="s">
        <v>7962</v>
      </c>
      <c r="AE1075" s="54" t="s">
        <v>7975</v>
      </c>
      <c r="AF1075" s="54"/>
      <c r="AG1075" s="54" t="s">
        <v>7976</v>
      </c>
      <c r="AH1075" s="53" t="s">
        <v>1591</v>
      </c>
      <c r="AI1075" s="53" t="s">
        <v>2686</v>
      </c>
      <c r="AJ1075" s="53" t="s">
        <v>1591</v>
      </c>
    </row>
    <row r="1076" spans="1:36" s="3" customFormat="1" ht="48" x14ac:dyDescent="0.25">
      <c r="A1076" s="35" t="s">
        <v>2768</v>
      </c>
      <c r="B1076" s="18" t="s">
        <v>37</v>
      </c>
      <c r="C1076" s="76"/>
      <c r="D1076" s="43" t="s">
        <v>5578</v>
      </c>
      <c r="E1076" s="78"/>
      <c r="F1076" s="36"/>
      <c r="G1076" s="80"/>
      <c r="H1076" s="80"/>
      <c r="I1076" s="36" t="s">
        <v>5579</v>
      </c>
      <c r="J1076" s="34" t="s">
        <v>5580</v>
      </c>
      <c r="K1076" s="37" t="s">
        <v>5581</v>
      </c>
      <c r="L1076" s="38">
        <v>42262</v>
      </c>
      <c r="M1076" s="39">
        <v>42292</v>
      </c>
      <c r="N1076" s="42">
        <v>4989.53</v>
      </c>
      <c r="O1076" s="85">
        <v>42286</v>
      </c>
      <c r="P1076" s="86">
        <v>42292</v>
      </c>
      <c r="Q1076" s="41"/>
      <c r="R1076" s="41">
        <v>4989.53</v>
      </c>
      <c r="S1076" s="80"/>
      <c r="T1076" s="81"/>
      <c r="U1076" s="80"/>
      <c r="V1076" s="80"/>
      <c r="W1076" s="42"/>
      <c r="X1076" s="42"/>
      <c r="Y1076" s="34" t="s">
        <v>4321</v>
      </c>
      <c r="Z1076" s="19" t="s">
        <v>7038</v>
      </c>
      <c r="AA1076" s="28" t="s">
        <v>7960</v>
      </c>
      <c r="AB1076" s="56">
        <v>43434</v>
      </c>
      <c r="AC1076" s="28" t="s">
        <v>7961</v>
      </c>
      <c r="AD1076" s="28" t="s">
        <v>7962</v>
      </c>
      <c r="AE1076" s="54" t="s">
        <v>7977</v>
      </c>
      <c r="AF1076" s="54"/>
      <c r="AG1076" s="54" t="s">
        <v>7978</v>
      </c>
      <c r="AH1076" s="53" t="s">
        <v>1591</v>
      </c>
      <c r="AI1076" s="53" t="s">
        <v>2686</v>
      </c>
      <c r="AJ1076" s="53" t="s">
        <v>1591</v>
      </c>
    </row>
    <row r="1077" spans="1:36" s="3" customFormat="1" ht="120" x14ac:dyDescent="0.25">
      <c r="A1077" s="17" t="s">
        <v>1498</v>
      </c>
      <c r="B1077" s="18" t="s">
        <v>37</v>
      </c>
      <c r="C1077" s="76" t="s">
        <v>5582</v>
      </c>
      <c r="D1077" s="45" t="s">
        <v>5583</v>
      </c>
      <c r="E1077" s="78" t="s">
        <v>5584</v>
      </c>
      <c r="F1077" s="79" t="s">
        <v>562</v>
      </c>
      <c r="G1077" s="80">
        <v>27637313.890000001</v>
      </c>
      <c r="H1077" s="80">
        <v>0</v>
      </c>
      <c r="I1077" s="78" t="s">
        <v>5585</v>
      </c>
      <c r="J1077" s="79" t="s">
        <v>5586</v>
      </c>
      <c r="K1077" s="81" t="s">
        <v>5587</v>
      </c>
      <c r="L1077" s="82">
        <v>41022</v>
      </c>
      <c r="M1077" s="83">
        <v>41387</v>
      </c>
      <c r="N1077" s="80">
        <v>27544921.18</v>
      </c>
      <c r="O1077" s="82"/>
      <c r="P1077" s="84" t="s">
        <v>5588</v>
      </c>
      <c r="Q1077" s="80">
        <v>0</v>
      </c>
      <c r="R1077" s="80">
        <v>27544921.18</v>
      </c>
      <c r="S1077" s="80"/>
      <c r="T1077" s="81" t="s">
        <v>1499</v>
      </c>
      <c r="U1077" s="80">
        <v>14517134.66</v>
      </c>
      <c r="V1077" s="80"/>
      <c r="W1077" s="80"/>
      <c r="X1077" s="80">
        <v>14242320.710000001</v>
      </c>
      <c r="Y1077" s="76" t="s">
        <v>175</v>
      </c>
      <c r="Z1077" s="19" t="s">
        <v>7038</v>
      </c>
      <c r="AA1077" s="28" t="s">
        <v>7979</v>
      </c>
      <c r="AB1077" s="56">
        <v>43425</v>
      </c>
      <c r="AC1077" s="28" t="s">
        <v>7980</v>
      </c>
      <c r="AD1077" s="28" t="s">
        <v>7981</v>
      </c>
      <c r="AE1077" s="54" t="s">
        <v>7982</v>
      </c>
      <c r="AF1077" s="54"/>
      <c r="AG1077" s="54" t="s">
        <v>5138</v>
      </c>
      <c r="AH1077" s="53" t="s">
        <v>1591</v>
      </c>
      <c r="AI1077" s="53" t="s">
        <v>2686</v>
      </c>
      <c r="AJ1077" s="53" t="s">
        <v>1591</v>
      </c>
    </row>
    <row r="1078" spans="1:36" s="3" customFormat="1" ht="120" x14ac:dyDescent="0.25">
      <c r="A1078" s="17" t="s">
        <v>1498</v>
      </c>
      <c r="B1078" s="18" t="s">
        <v>37</v>
      </c>
      <c r="C1078" s="76" t="s">
        <v>5589</v>
      </c>
      <c r="D1078" s="45" t="s">
        <v>5590</v>
      </c>
      <c r="E1078" s="78" t="s">
        <v>5591</v>
      </c>
      <c r="F1078" s="79" t="s">
        <v>562</v>
      </c>
      <c r="G1078" s="80">
        <v>5768342.0800000001</v>
      </c>
      <c r="H1078" s="80">
        <v>312233.43</v>
      </c>
      <c r="I1078" s="78" t="s">
        <v>5585</v>
      </c>
      <c r="J1078" s="79" t="s">
        <v>5586</v>
      </c>
      <c r="K1078" s="81" t="s">
        <v>5592</v>
      </c>
      <c r="L1078" s="82">
        <v>40850</v>
      </c>
      <c r="M1078" s="83">
        <v>41215</v>
      </c>
      <c r="N1078" s="80">
        <v>5739787.2999999998</v>
      </c>
      <c r="O1078" s="82"/>
      <c r="P1078" s="84" t="s">
        <v>5588</v>
      </c>
      <c r="Q1078" s="80">
        <v>0</v>
      </c>
      <c r="R1078" s="80">
        <v>5739787.2999999998</v>
      </c>
      <c r="S1078" s="80"/>
      <c r="T1078" s="81" t="s">
        <v>1499</v>
      </c>
      <c r="U1078" s="80">
        <v>3583564.12</v>
      </c>
      <c r="V1078" s="80"/>
      <c r="W1078" s="80"/>
      <c r="X1078" s="80">
        <v>3583564.12</v>
      </c>
      <c r="Y1078" s="76" t="s">
        <v>175</v>
      </c>
      <c r="Z1078" s="19" t="s">
        <v>7038</v>
      </c>
      <c r="AA1078" s="28" t="s">
        <v>7979</v>
      </c>
      <c r="AB1078" s="56">
        <v>43425</v>
      </c>
      <c r="AC1078" s="28" t="s">
        <v>7980</v>
      </c>
      <c r="AD1078" s="28" t="s">
        <v>7981</v>
      </c>
      <c r="AE1078" s="54" t="s">
        <v>7982</v>
      </c>
      <c r="AF1078" s="54"/>
      <c r="AG1078" s="54" t="s">
        <v>5138</v>
      </c>
      <c r="AH1078" s="53" t="s">
        <v>1591</v>
      </c>
      <c r="AI1078" s="53" t="s">
        <v>2686</v>
      </c>
      <c r="AJ1078" s="53" t="s">
        <v>1591</v>
      </c>
    </row>
    <row r="1079" spans="1:36" s="3" customFormat="1" ht="60" x14ac:dyDescent="0.25">
      <c r="A1079" s="17" t="s">
        <v>1498</v>
      </c>
      <c r="B1079" s="18" t="s">
        <v>37</v>
      </c>
      <c r="C1079" s="76" t="s">
        <v>5593</v>
      </c>
      <c r="D1079" s="45" t="s">
        <v>5594</v>
      </c>
      <c r="E1079" s="78"/>
      <c r="F1079" s="79"/>
      <c r="G1079" s="80"/>
      <c r="H1079" s="80"/>
      <c r="I1079" s="78" t="s">
        <v>1180</v>
      </c>
      <c r="J1079" s="79" t="s">
        <v>5595</v>
      </c>
      <c r="K1079" s="81" t="s">
        <v>5596</v>
      </c>
      <c r="L1079" s="82">
        <v>41891</v>
      </c>
      <c r="M1079" s="83">
        <v>42971</v>
      </c>
      <c r="N1079" s="80">
        <v>1630705.71</v>
      </c>
      <c r="O1079" s="82"/>
      <c r="P1079" s="84"/>
      <c r="Q1079" s="80">
        <v>0</v>
      </c>
      <c r="R1079" s="80">
        <v>1630705.71</v>
      </c>
      <c r="S1079" s="80"/>
      <c r="T1079" s="81" t="s">
        <v>5597</v>
      </c>
      <c r="U1079" s="80">
        <v>276516.02</v>
      </c>
      <c r="V1079" s="80"/>
      <c r="W1079" s="80"/>
      <c r="X1079" s="80">
        <v>80001.399999999994</v>
      </c>
      <c r="Y1079" s="76" t="s">
        <v>175</v>
      </c>
      <c r="Z1079" s="19" t="s">
        <v>7038</v>
      </c>
      <c r="AA1079" s="28" t="s">
        <v>7979</v>
      </c>
      <c r="AB1079" s="56">
        <v>43425</v>
      </c>
      <c r="AC1079" s="28" t="s">
        <v>7980</v>
      </c>
      <c r="AD1079" s="28" t="s">
        <v>7981</v>
      </c>
      <c r="AE1079" s="54" t="s">
        <v>7983</v>
      </c>
      <c r="AF1079" s="54"/>
      <c r="AG1079" s="54" t="s">
        <v>7984</v>
      </c>
      <c r="AH1079" s="53" t="s">
        <v>1591</v>
      </c>
      <c r="AI1079" s="53" t="s">
        <v>2686</v>
      </c>
      <c r="AJ1079" s="53" t="s">
        <v>1591</v>
      </c>
    </row>
    <row r="1080" spans="1:36" s="3" customFormat="1" ht="72" x14ac:dyDescent="0.25">
      <c r="A1080" s="17" t="s">
        <v>1498</v>
      </c>
      <c r="B1080" s="18" t="s">
        <v>37</v>
      </c>
      <c r="C1080" s="76" t="s">
        <v>1502</v>
      </c>
      <c r="D1080" s="77" t="s">
        <v>5598</v>
      </c>
      <c r="E1080" s="78" t="s">
        <v>5599</v>
      </c>
      <c r="F1080" s="79" t="s">
        <v>350</v>
      </c>
      <c r="G1080" s="80"/>
      <c r="H1080" s="80"/>
      <c r="I1080" s="78" t="s">
        <v>723</v>
      </c>
      <c r="J1080" s="79" t="s">
        <v>1500</v>
      </c>
      <c r="K1080" s="81" t="s">
        <v>1503</v>
      </c>
      <c r="L1080" s="82">
        <v>42149</v>
      </c>
      <c r="M1080" s="83">
        <v>42239</v>
      </c>
      <c r="N1080" s="80">
        <v>1492807.17</v>
      </c>
      <c r="O1080" s="82"/>
      <c r="P1080" s="84" t="s">
        <v>5600</v>
      </c>
      <c r="Q1080" s="80">
        <v>0</v>
      </c>
      <c r="R1080" s="80">
        <v>1492807.17</v>
      </c>
      <c r="S1080" s="80"/>
      <c r="T1080" s="81" t="s">
        <v>1499</v>
      </c>
      <c r="U1080" s="80"/>
      <c r="V1080" s="80"/>
      <c r="W1080" s="80"/>
      <c r="X1080" s="80"/>
      <c r="Y1080" s="76" t="s">
        <v>175</v>
      </c>
      <c r="Z1080" s="19" t="s">
        <v>7038</v>
      </c>
      <c r="AA1080" s="28" t="s">
        <v>7979</v>
      </c>
      <c r="AB1080" s="56">
        <v>43425</v>
      </c>
      <c r="AC1080" s="28" t="s">
        <v>7980</v>
      </c>
      <c r="AD1080" s="28" t="s">
        <v>7981</v>
      </c>
      <c r="AE1080" s="54" t="s">
        <v>7985</v>
      </c>
      <c r="AF1080" s="54"/>
      <c r="AG1080" s="54" t="s">
        <v>7984</v>
      </c>
      <c r="AH1080" s="53" t="s">
        <v>1591</v>
      </c>
      <c r="AI1080" s="53" t="s">
        <v>2686</v>
      </c>
      <c r="AJ1080" s="53" t="s">
        <v>1591</v>
      </c>
    </row>
    <row r="1081" spans="1:36" s="3" customFormat="1" ht="60" x14ac:dyDescent="0.25">
      <c r="A1081" s="17" t="s">
        <v>1498</v>
      </c>
      <c r="B1081" s="18" t="s">
        <v>37</v>
      </c>
      <c r="C1081" s="76" t="s">
        <v>5601</v>
      </c>
      <c r="D1081" s="45" t="s">
        <v>5602</v>
      </c>
      <c r="E1081" s="78" t="s">
        <v>5603</v>
      </c>
      <c r="F1081" s="79" t="s">
        <v>5604</v>
      </c>
      <c r="G1081" s="80">
        <v>1125094.6200000001</v>
      </c>
      <c r="H1081" s="80">
        <v>332885.15000000002</v>
      </c>
      <c r="I1081" s="78" t="s">
        <v>4442</v>
      </c>
      <c r="J1081" s="79" t="s">
        <v>5605</v>
      </c>
      <c r="K1081" s="81" t="s">
        <v>5606</v>
      </c>
      <c r="L1081" s="82">
        <v>41557</v>
      </c>
      <c r="M1081" s="83">
        <v>41707</v>
      </c>
      <c r="N1081" s="80">
        <v>1105998.4099999999</v>
      </c>
      <c r="O1081" s="82">
        <v>41890</v>
      </c>
      <c r="P1081" s="84" t="s">
        <v>4455</v>
      </c>
      <c r="Q1081" s="80">
        <v>352242.65999999992</v>
      </c>
      <c r="R1081" s="80">
        <v>1458241.0699999998</v>
      </c>
      <c r="S1081" s="80"/>
      <c r="T1081" s="81" t="s">
        <v>1499</v>
      </c>
      <c r="U1081" s="80">
        <v>1456016.2</v>
      </c>
      <c r="V1081" s="80"/>
      <c r="W1081" s="80"/>
      <c r="X1081" s="80">
        <v>1185355.92</v>
      </c>
      <c r="Y1081" s="76" t="s">
        <v>142</v>
      </c>
      <c r="Z1081" s="19" t="s">
        <v>7038</v>
      </c>
      <c r="AA1081" s="28" t="s">
        <v>7979</v>
      </c>
      <c r="AB1081" s="56">
        <v>43425</v>
      </c>
      <c r="AC1081" s="28" t="s">
        <v>7980</v>
      </c>
      <c r="AD1081" s="28" t="s">
        <v>7981</v>
      </c>
      <c r="AE1081" s="54" t="s">
        <v>7986</v>
      </c>
      <c r="AF1081" s="54"/>
      <c r="AG1081" s="54" t="s">
        <v>7987</v>
      </c>
      <c r="AH1081" s="53" t="s">
        <v>1591</v>
      </c>
      <c r="AI1081" s="53" t="s">
        <v>2686</v>
      </c>
      <c r="AJ1081" s="53" t="s">
        <v>1591</v>
      </c>
    </row>
    <row r="1082" spans="1:36" s="3" customFormat="1" ht="60" x14ac:dyDescent="0.25">
      <c r="A1082" s="17" t="s">
        <v>1498</v>
      </c>
      <c r="B1082" s="18" t="s">
        <v>37</v>
      </c>
      <c r="C1082" s="76" t="s">
        <v>5607</v>
      </c>
      <c r="D1082" s="45" t="s">
        <v>5608</v>
      </c>
      <c r="E1082" s="78"/>
      <c r="F1082" s="79"/>
      <c r="G1082" s="80"/>
      <c r="H1082" s="80"/>
      <c r="I1082" s="78" t="s">
        <v>752</v>
      </c>
      <c r="J1082" s="79" t="s">
        <v>1501</v>
      </c>
      <c r="K1082" s="81" t="s">
        <v>5609</v>
      </c>
      <c r="L1082" s="82">
        <v>41843</v>
      </c>
      <c r="M1082" s="83">
        <v>42208</v>
      </c>
      <c r="N1082" s="80">
        <v>720713.56</v>
      </c>
      <c r="O1082" s="82">
        <v>42208</v>
      </c>
      <c r="P1082" s="84"/>
      <c r="Q1082" s="80">
        <v>0</v>
      </c>
      <c r="R1082" s="80">
        <v>720713.56</v>
      </c>
      <c r="S1082" s="80"/>
      <c r="T1082" s="81" t="s">
        <v>5610</v>
      </c>
      <c r="U1082" s="80">
        <v>342875.62</v>
      </c>
      <c r="V1082" s="80"/>
      <c r="W1082" s="80"/>
      <c r="X1082" s="80">
        <v>238170.05</v>
      </c>
      <c r="Y1082" s="76" t="s">
        <v>142</v>
      </c>
      <c r="Z1082" s="19" t="s">
        <v>7038</v>
      </c>
      <c r="AA1082" s="28" t="s">
        <v>7979</v>
      </c>
      <c r="AB1082" s="56">
        <v>43425</v>
      </c>
      <c r="AC1082" s="28" t="s">
        <v>7980</v>
      </c>
      <c r="AD1082" s="28" t="s">
        <v>7981</v>
      </c>
      <c r="AE1082" s="54" t="s">
        <v>7986</v>
      </c>
      <c r="AF1082" s="54"/>
      <c r="AG1082" s="54" t="s">
        <v>7987</v>
      </c>
      <c r="AH1082" s="53" t="s">
        <v>1591</v>
      </c>
      <c r="AI1082" s="53" t="s">
        <v>2686</v>
      </c>
      <c r="AJ1082" s="53" t="s">
        <v>1591</v>
      </c>
    </row>
    <row r="1083" spans="1:36" s="3" customFormat="1" ht="60" x14ac:dyDescent="0.25">
      <c r="A1083" s="17" t="s">
        <v>1498</v>
      </c>
      <c r="B1083" s="18" t="s">
        <v>37</v>
      </c>
      <c r="C1083" s="76" t="s">
        <v>1502</v>
      </c>
      <c r="D1083" s="77" t="s">
        <v>5611</v>
      </c>
      <c r="E1083" s="78" t="s">
        <v>5612</v>
      </c>
      <c r="F1083" s="79" t="s">
        <v>350</v>
      </c>
      <c r="G1083" s="80"/>
      <c r="H1083" s="80"/>
      <c r="I1083" s="78" t="s">
        <v>723</v>
      </c>
      <c r="J1083" s="79" t="s">
        <v>1500</v>
      </c>
      <c r="K1083" s="81" t="s">
        <v>5613</v>
      </c>
      <c r="L1083" s="82">
        <v>42149</v>
      </c>
      <c r="M1083" s="83">
        <v>42239</v>
      </c>
      <c r="N1083" s="80">
        <v>610030.81000000006</v>
      </c>
      <c r="O1083" s="82"/>
      <c r="P1083" s="84" t="s">
        <v>5028</v>
      </c>
      <c r="Q1083" s="80">
        <v>0</v>
      </c>
      <c r="R1083" s="80">
        <v>610030.81000000006</v>
      </c>
      <c r="S1083" s="80"/>
      <c r="T1083" s="81" t="s">
        <v>1499</v>
      </c>
      <c r="U1083" s="80"/>
      <c r="V1083" s="80"/>
      <c r="W1083" s="80"/>
      <c r="X1083" s="80"/>
      <c r="Y1083" s="76" t="s">
        <v>5614</v>
      </c>
      <c r="Z1083" s="19" t="s">
        <v>7038</v>
      </c>
      <c r="AA1083" s="28" t="s">
        <v>7979</v>
      </c>
      <c r="AB1083" s="56">
        <v>43425</v>
      </c>
      <c r="AC1083" s="28" t="s">
        <v>7980</v>
      </c>
      <c r="AD1083" s="28" t="s">
        <v>7981</v>
      </c>
      <c r="AE1083" s="54" t="s">
        <v>7986</v>
      </c>
      <c r="AF1083" s="54"/>
      <c r="AG1083" s="54" t="s">
        <v>7988</v>
      </c>
      <c r="AH1083" s="53" t="s">
        <v>1591</v>
      </c>
      <c r="AI1083" s="53" t="s">
        <v>2686</v>
      </c>
      <c r="AJ1083" s="53" t="s">
        <v>1591</v>
      </c>
    </row>
    <row r="1084" spans="1:36" s="3" customFormat="1" ht="96" x14ac:dyDescent="0.25">
      <c r="A1084" s="17" t="s">
        <v>1498</v>
      </c>
      <c r="B1084" s="18" t="s">
        <v>37</v>
      </c>
      <c r="C1084" s="76" t="s">
        <v>5615</v>
      </c>
      <c r="D1084" s="45" t="s">
        <v>5616</v>
      </c>
      <c r="E1084" s="78"/>
      <c r="F1084" s="79"/>
      <c r="G1084" s="80"/>
      <c r="H1084" s="80"/>
      <c r="I1084" s="78" t="s">
        <v>1180</v>
      </c>
      <c r="J1084" s="79" t="s">
        <v>5595</v>
      </c>
      <c r="K1084" s="81" t="s">
        <v>5617</v>
      </c>
      <c r="L1084" s="82">
        <v>41676</v>
      </c>
      <c r="M1084" s="83">
        <v>42041</v>
      </c>
      <c r="N1084" s="80">
        <v>598166.38</v>
      </c>
      <c r="O1084" s="82">
        <v>42142</v>
      </c>
      <c r="P1084" s="84" t="s">
        <v>162</v>
      </c>
      <c r="Q1084" s="80">
        <v>0</v>
      </c>
      <c r="R1084" s="80">
        <v>598166.38</v>
      </c>
      <c r="S1084" s="80"/>
      <c r="T1084" s="81" t="s">
        <v>5610</v>
      </c>
      <c r="U1084" s="80">
        <v>577765.79</v>
      </c>
      <c r="V1084" s="80"/>
      <c r="W1084" s="80"/>
      <c r="X1084" s="80">
        <v>283634.26</v>
      </c>
      <c r="Y1084" s="76" t="s">
        <v>142</v>
      </c>
      <c r="Z1084" s="19" t="s">
        <v>7038</v>
      </c>
      <c r="AA1084" s="28" t="s">
        <v>7979</v>
      </c>
      <c r="AB1084" s="56">
        <v>43425</v>
      </c>
      <c r="AC1084" s="28" t="s">
        <v>7980</v>
      </c>
      <c r="AD1084" s="28" t="s">
        <v>7981</v>
      </c>
      <c r="AE1084" s="54" t="s">
        <v>7989</v>
      </c>
      <c r="AF1084" s="54"/>
      <c r="AG1084" s="54" t="s">
        <v>7987</v>
      </c>
      <c r="AH1084" s="53" t="s">
        <v>1591</v>
      </c>
      <c r="AI1084" s="53" t="s">
        <v>2686</v>
      </c>
      <c r="AJ1084" s="53" t="s">
        <v>1591</v>
      </c>
    </row>
    <row r="1085" spans="1:36" s="3" customFormat="1" ht="96" x14ac:dyDescent="0.25">
      <c r="A1085" s="17" t="s">
        <v>1498</v>
      </c>
      <c r="B1085" s="18" t="s">
        <v>37</v>
      </c>
      <c r="C1085" s="76" t="s">
        <v>5618</v>
      </c>
      <c r="D1085" s="45" t="s">
        <v>5619</v>
      </c>
      <c r="E1085" s="78" t="s">
        <v>5620</v>
      </c>
      <c r="F1085" s="79" t="s">
        <v>43</v>
      </c>
      <c r="G1085" s="80">
        <v>508622.08000000002</v>
      </c>
      <c r="H1085" s="80">
        <v>0</v>
      </c>
      <c r="I1085" s="78" t="s">
        <v>723</v>
      </c>
      <c r="J1085" s="79" t="s">
        <v>1500</v>
      </c>
      <c r="K1085" s="81" t="s">
        <v>5621</v>
      </c>
      <c r="L1085" s="82">
        <v>41645</v>
      </c>
      <c r="M1085" s="83">
        <v>41825</v>
      </c>
      <c r="N1085" s="80">
        <v>500888</v>
      </c>
      <c r="O1085" s="82"/>
      <c r="P1085" s="84" t="s">
        <v>4812</v>
      </c>
      <c r="Q1085" s="80">
        <v>0</v>
      </c>
      <c r="R1085" s="80">
        <v>500888</v>
      </c>
      <c r="S1085" s="80"/>
      <c r="T1085" s="81" t="s">
        <v>1499</v>
      </c>
      <c r="U1085" s="80">
        <v>500888</v>
      </c>
      <c r="V1085" s="80"/>
      <c r="W1085" s="80"/>
      <c r="X1085" s="80">
        <v>343494.35</v>
      </c>
      <c r="Y1085" s="76" t="s">
        <v>142</v>
      </c>
      <c r="Z1085" s="19" t="s">
        <v>7038</v>
      </c>
      <c r="AA1085" s="28" t="s">
        <v>7979</v>
      </c>
      <c r="AB1085" s="56">
        <v>43425</v>
      </c>
      <c r="AC1085" s="28" t="s">
        <v>7980</v>
      </c>
      <c r="AD1085" s="28" t="s">
        <v>7981</v>
      </c>
      <c r="AE1085" s="54" t="s">
        <v>7990</v>
      </c>
      <c r="AF1085" s="54"/>
      <c r="AG1085" s="54" t="s">
        <v>7991</v>
      </c>
      <c r="AH1085" s="53" t="s">
        <v>1591</v>
      </c>
      <c r="AI1085" s="53" t="s">
        <v>2686</v>
      </c>
      <c r="AJ1085" s="53" t="s">
        <v>1591</v>
      </c>
    </row>
    <row r="1086" spans="1:36" s="3" customFormat="1" ht="96" x14ac:dyDescent="0.25">
      <c r="A1086" s="17" t="s">
        <v>1498</v>
      </c>
      <c r="B1086" s="18" t="s">
        <v>37</v>
      </c>
      <c r="C1086" s="76" t="s">
        <v>5622</v>
      </c>
      <c r="D1086" s="45" t="s">
        <v>5623</v>
      </c>
      <c r="E1086" s="78" t="s">
        <v>5624</v>
      </c>
      <c r="F1086" s="79" t="s">
        <v>43</v>
      </c>
      <c r="G1086" s="80"/>
      <c r="H1086" s="80"/>
      <c r="I1086" s="78" t="s">
        <v>723</v>
      </c>
      <c r="J1086" s="79" t="s">
        <v>1500</v>
      </c>
      <c r="K1086" s="81" t="s">
        <v>5625</v>
      </c>
      <c r="L1086" s="82">
        <v>42261</v>
      </c>
      <c r="M1086" s="83">
        <v>42441</v>
      </c>
      <c r="N1086" s="80">
        <v>499658.26</v>
      </c>
      <c r="O1086" s="82"/>
      <c r="P1086" s="84" t="s">
        <v>364</v>
      </c>
      <c r="Q1086" s="80">
        <v>0</v>
      </c>
      <c r="R1086" s="80">
        <v>499658.26</v>
      </c>
      <c r="S1086" s="80"/>
      <c r="T1086" s="81" t="s">
        <v>1499</v>
      </c>
      <c r="U1086" s="80">
        <v>84883.01</v>
      </c>
      <c r="V1086" s="80"/>
      <c r="W1086" s="80"/>
      <c r="X1086" s="80">
        <v>84883.01</v>
      </c>
      <c r="Y1086" s="76" t="s">
        <v>175</v>
      </c>
      <c r="Z1086" s="19" t="s">
        <v>7038</v>
      </c>
      <c r="AA1086" s="28" t="s">
        <v>7979</v>
      </c>
      <c r="AB1086" s="56">
        <v>43425</v>
      </c>
      <c r="AC1086" s="28" t="s">
        <v>7980</v>
      </c>
      <c r="AD1086" s="28" t="s">
        <v>7981</v>
      </c>
      <c r="AE1086" s="54" t="s">
        <v>7990</v>
      </c>
      <c r="AF1086" s="54"/>
      <c r="AG1086" s="54" t="s">
        <v>7992</v>
      </c>
      <c r="AH1086" s="53" t="s">
        <v>1591</v>
      </c>
      <c r="AI1086" s="53" t="s">
        <v>2686</v>
      </c>
      <c r="AJ1086" s="53" t="s">
        <v>1591</v>
      </c>
    </row>
    <row r="1087" spans="1:36" s="3" customFormat="1" ht="60" x14ac:dyDescent="0.25">
      <c r="A1087" s="17" t="s">
        <v>1498</v>
      </c>
      <c r="B1087" s="18" t="s">
        <v>37</v>
      </c>
      <c r="C1087" s="76" t="s">
        <v>5622</v>
      </c>
      <c r="D1087" s="45" t="s">
        <v>5626</v>
      </c>
      <c r="E1087" s="78" t="s">
        <v>5624</v>
      </c>
      <c r="F1087" s="79" t="s">
        <v>43</v>
      </c>
      <c r="G1087" s="80"/>
      <c r="H1087" s="80"/>
      <c r="I1087" s="78" t="s">
        <v>723</v>
      </c>
      <c r="J1087" s="79" t="s">
        <v>1500</v>
      </c>
      <c r="K1087" s="81" t="s">
        <v>5627</v>
      </c>
      <c r="L1087" s="82">
        <v>42261</v>
      </c>
      <c r="M1087" s="83">
        <v>42441</v>
      </c>
      <c r="N1087" s="80">
        <v>499658.26</v>
      </c>
      <c r="O1087" s="82"/>
      <c r="P1087" s="84" t="s">
        <v>5566</v>
      </c>
      <c r="Q1087" s="80">
        <v>0</v>
      </c>
      <c r="R1087" s="80">
        <v>499658.26</v>
      </c>
      <c r="S1087" s="80"/>
      <c r="T1087" s="81" t="s">
        <v>1499</v>
      </c>
      <c r="U1087" s="80"/>
      <c r="V1087" s="80"/>
      <c r="W1087" s="80"/>
      <c r="X1087" s="80"/>
      <c r="Y1087" s="76" t="s">
        <v>175</v>
      </c>
      <c r="Z1087" s="19" t="s">
        <v>7038</v>
      </c>
      <c r="AA1087" s="28" t="s">
        <v>7979</v>
      </c>
      <c r="AB1087" s="56">
        <v>43425</v>
      </c>
      <c r="AC1087" s="28" t="s">
        <v>7980</v>
      </c>
      <c r="AD1087" s="28" t="s">
        <v>7981</v>
      </c>
      <c r="AE1087" s="54" t="s">
        <v>7993</v>
      </c>
      <c r="AF1087" s="54"/>
      <c r="AG1087" s="54" t="s">
        <v>7994</v>
      </c>
      <c r="AH1087" s="53" t="s">
        <v>1591</v>
      </c>
      <c r="AI1087" s="53" t="s">
        <v>2686</v>
      </c>
      <c r="AJ1087" s="53" t="s">
        <v>1591</v>
      </c>
    </row>
    <row r="1088" spans="1:36" s="3" customFormat="1" ht="60" x14ac:dyDescent="0.25">
      <c r="A1088" s="17" t="s">
        <v>1498</v>
      </c>
      <c r="B1088" s="18" t="s">
        <v>37</v>
      </c>
      <c r="C1088" s="76" t="s">
        <v>5622</v>
      </c>
      <c r="D1088" s="45" t="s">
        <v>5628</v>
      </c>
      <c r="E1088" s="78" t="s">
        <v>5624</v>
      </c>
      <c r="F1088" s="79" t="s">
        <v>43</v>
      </c>
      <c r="G1088" s="80"/>
      <c r="H1088" s="80"/>
      <c r="I1088" s="78" t="s">
        <v>723</v>
      </c>
      <c r="J1088" s="79" t="s">
        <v>1500</v>
      </c>
      <c r="K1088" s="81" t="s">
        <v>5629</v>
      </c>
      <c r="L1088" s="82">
        <v>42261</v>
      </c>
      <c r="M1088" s="83">
        <v>42441</v>
      </c>
      <c r="N1088" s="80">
        <v>499658.26</v>
      </c>
      <c r="O1088" s="82"/>
      <c r="P1088" s="84" t="s">
        <v>5566</v>
      </c>
      <c r="Q1088" s="80">
        <v>0</v>
      </c>
      <c r="R1088" s="80">
        <v>499658.26</v>
      </c>
      <c r="S1088" s="80"/>
      <c r="T1088" s="81" t="s">
        <v>1499</v>
      </c>
      <c r="U1088" s="80"/>
      <c r="V1088" s="80"/>
      <c r="W1088" s="80"/>
      <c r="X1088" s="80"/>
      <c r="Y1088" s="76" t="s">
        <v>175</v>
      </c>
      <c r="Z1088" s="19" t="s">
        <v>7038</v>
      </c>
      <c r="AA1088" s="28" t="s">
        <v>7979</v>
      </c>
      <c r="AB1088" s="56">
        <v>43425</v>
      </c>
      <c r="AC1088" s="28" t="s">
        <v>7980</v>
      </c>
      <c r="AD1088" s="28" t="s">
        <v>7981</v>
      </c>
      <c r="AE1088" s="54" t="s">
        <v>7993</v>
      </c>
      <c r="AF1088" s="54"/>
      <c r="AG1088" s="54" t="s">
        <v>7994</v>
      </c>
      <c r="AH1088" s="53" t="s">
        <v>1591</v>
      </c>
      <c r="AI1088" s="53" t="s">
        <v>2686</v>
      </c>
      <c r="AJ1088" s="53" t="s">
        <v>1591</v>
      </c>
    </row>
    <row r="1089" spans="1:36" s="3" customFormat="1" ht="60" x14ac:dyDescent="0.25">
      <c r="A1089" s="17" t="s">
        <v>1498</v>
      </c>
      <c r="B1089" s="18" t="s">
        <v>37</v>
      </c>
      <c r="C1089" s="76" t="s">
        <v>1502</v>
      </c>
      <c r="D1089" s="77" t="s">
        <v>5630</v>
      </c>
      <c r="E1089" s="78" t="s">
        <v>5631</v>
      </c>
      <c r="F1089" s="79" t="s">
        <v>5632</v>
      </c>
      <c r="G1089" s="80"/>
      <c r="H1089" s="80"/>
      <c r="I1089" s="78" t="s">
        <v>723</v>
      </c>
      <c r="J1089" s="79" t="s">
        <v>5633</v>
      </c>
      <c r="K1089" s="81" t="s">
        <v>5634</v>
      </c>
      <c r="L1089" s="82">
        <v>42149</v>
      </c>
      <c r="M1089" s="83">
        <v>42239</v>
      </c>
      <c r="N1089" s="80">
        <v>414151.76</v>
      </c>
      <c r="O1089" s="82"/>
      <c r="P1089" s="84" t="s">
        <v>5600</v>
      </c>
      <c r="Q1089" s="80">
        <v>0</v>
      </c>
      <c r="R1089" s="80">
        <v>414151.76</v>
      </c>
      <c r="S1089" s="80"/>
      <c r="T1089" s="81" t="s">
        <v>1499</v>
      </c>
      <c r="U1089" s="80"/>
      <c r="V1089" s="80"/>
      <c r="W1089" s="80"/>
      <c r="X1089" s="80"/>
      <c r="Y1089" s="76" t="s">
        <v>175</v>
      </c>
      <c r="Z1089" s="19" t="s">
        <v>7038</v>
      </c>
      <c r="AA1089" s="28" t="s">
        <v>7979</v>
      </c>
      <c r="AB1089" s="56">
        <v>43425</v>
      </c>
      <c r="AC1089" s="28" t="s">
        <v>7980</v>
      </c>
      <c r="AD1089" s="28" t="s">
        <v>7981</v>
      </c>
      <c r="AE1089" s="54" t="s">
        <v>7995</v>
      </c>
      <c r="AF1089" s="54"/>
      <c r="AG1089" s="54" t="s">
        <v>7984</v>
      </c>
      <c r="AH1089" s="53" t="s">
        <v>1591</v>
      </c>
      <c r="AI1089" s="53" t="s">
        <v>2686</v>
      </c>
      <c r="AJ1089" s="53" t="s">
        <v>1591</v>
      </c>
    </row>
    <row r="1090" spans="1:36" s="3" customFormat="1" ht="84" x14ac:dyDescent="0.25">
      <c r="A1090" s="17" t="s">
        <v>1498</v>
      </c>
      <c r="B1090" s="18" t="s">
        <v>37</v>
      </c>
      <c r="C1090" s="19" t="s">
        <v>3045</v>
      </c>
      <c r="D1090" s="45" t="s">
        <v>3046</v>
      </c>
      <c r="E1090" s="50"/>
      <c r="F1090" s="58"/>
      <c r="G1090" s="51"/>
      <c r="H1090" s="51"/>
      <c r="I1090" s="50" t="s">
        <v>1505</v>
      </c>
      <c r="J1090" s="58" t="s">
        <v>3223</v>
      </c>
      <c r="K1090" s="52" t="s">
        <v>3224</v>
      </c>
      <c r="L1090" s="59">
        <v>42870</v>
      </c>
      <c r="M1090" s="60">
        <f>L1090+270</f>
        <v>43140</v>
      </c>
      <c r="N1090" s="51">
        <v>412925.42</v>
      </c>
      <c r="O1090" s="59"/>
      <c r="P1090" s="59"/>
      <c r="Q1090" s="51"/>
      <c r="R1090" s="51">
        <f>N1090+Q1090</f>
        <v>412925.42</v>
      </c>
      <c r="S1090" s="51"/>
      <c r="T1090" s="52" t="s">
        <v>674</v>
      </c>
      <c r="U1090" s="51">
        <v>0</v>
      </c>
      <c r="V1090" s="51"/>
      <c r="W1090" s="51"/>
      <c r="X1090" s="51">
        <v>0</v>
      </c>
      <c r="Y1090" s="19" t="s">
        <v>175</v>
      </c>
      <c r="Z1090" s="19"/>
      <c r="AA1090" s="28" t="s">
        <v>7979</v>
      </c>
      <c r="AB1090" s="56">
        <v>43425</v>
      </c>
      <c r="AC1090" s="28" t="s">
        <v>7980</v>
      </c>
      <c r="AD1090" s="28" t="s">
        <v>7981</v>
      </c>
      <c r="AE1090" s="54" t="s">
        <v>7996</v>
      </c>
      <c r="AF1090" s="54"/>
      <c r="AG1090" s="54" t="s">
        <v>186</v>
      </c>
      <c r="AH1090" s="53" t="s">
        <v>1591</v>
      </c>
      <c r="AI1090" s="53" t="s">
        <v>2686</v>
      </c>
      <c r="AJ1090" s="53" t="s">
        <v>1591</v>
      </c>
    </row>
    <row r="1091" spans="1:36" s="3" customFormat="1" ht="72" x14ac:dyDescent="0.25">
      <c r="A1091" s="17" t="s">
        <v>1498</v>
      </c>
      <c r="B1091" s="18" t="s">
        <v>37</v>
      </c>
      <c r="C1091" s="76" t="s">
        <v>5635</v>
      </c>
      <c r="D1091" s="45" t="s">
        <v>5636</v>
      </c>
      <c r="E1091" s="78"/>
      <c r="F1091" s="79"/>
      <c r="G1091" s="80"/>
      <c r="H1091" s="80"/>
      <c r="I1091" s="78" t="s">
        <v>5551</v>
      </c>
      <c r="J1091" s="79" t="s">
        <v>5637</v>
      </c>
      <c r="K1091" s="81" t="s">
        <v>5638</v>
      </c>
      <c r="L1091" s="82">
        <v>42186</v>
      </c>
      <c r="M1091" s="83">
        <v>42276</v>
      </c>
      <c r="N1091" s="80">
        <v>111030.09</v>
      </c>
      <c r="O1091" s="82"/>
      <c r="P1091" s="84" t="s">
        <v>4610</v>
      </c>
      <c r="Q1091" s="80">
        <v>12568.240000000005</v>
      </c>
      <c r="R1091" s="80">
        <v>123598.33</v>
      </c>
      <c r="S1091" s="80"/>
      <c r="T1091" s="81" t="s">
        <v>1499</v>
      </c>
      <c r="U1091" s="80">
        <v>79585.58</v>
      </c>
      <c r="V1091" s="80"/>
      <c r="W1091" s="80"/>
      <c r="X1091" s="80">
        <v>69000</v>
      </c>
      <c r="Y1091" s="76" t="s">
        <v>175</v>
      </c>
      <c r="Z1091" s="19" t="s">
        <v>7038</v>
      </c>
      <c r="AA1091" s="28" t="s">
        <v>7979</v>
      </c>
      <c r="AB1091" s="56">
        <v>43425</v>
      </c>
      <c r="AC1091" s="28" t="s">
        <v>7980</v>
      </c>
      <c r="AD1091" s="28" t="s">
        <v>7981</v>
      </c>
      <c r="AE1091" s="54" t="s">
        <v>7997</v>
      </c>
      <c r="AF1091" s="54"/>
      <c r="AG1091" s="54" t="s">
        <v>7998</v>
      </c>
      <c r="AH1091" s="53" t="s">
        <v>1591</v>
      </c>
      <c r="AI1091" s="53" t="s">
        <v>2686</v>
      </c>
      <c r="AJ1091" s="53" t="s">
        <v>1591</v>
      </c>
    </row>
    <row r="1092" spans="1:36" s="3" customFormat="1" ht="24" x14ac:dyDescent="0.25">
      <c r="A1092" s="17" t="s">
        <v>2722</v>
      </c>
      <c r="B1092" s="18" t="s">
        <v>37</v>
      </c>
      <c r="C1092" s="19" t="s">
        <v>3072</v>
      </c>
      <c r="D1092" s="45" t="s">
        <v>3073</v>
      </c>
      <c r="E1092" s="50" t="s">
        <v>3241</v>
      </c>
      <c r="F1092" s="58" t="s">
        <v>1412</v>
      </c>
      <c r="G1092" s="51"/>
      <c r="H1092" s="51"/>
      <c r="I1092" s="50" t="s">
        <v>3242</v>
      </c>
      <c r="J1092" s="58" t="s">
        <v>3243</v>
      </c>
      <c r="K1092" s="52">
        <v>2017</v>
      </c>
      <c r="L1092" s="59">
        <v>43069</v>
      </c>
      <c r="M1092" s="60">
        <f>L1092+24*30</f>
        <v>43789</v>
      </c>
      <c r="N1092" s="51">
        <v>8645008.0500000007</v>
      </c>
      <c r="O1092" s="59"/>
      <c r="P1092" s="59"/>
      <c r="Q1092" s="51"/>
      <c r="R1092" s="51">
        <f>N1092+Q1092</f>
        <v>8645008.0500000007</v>
      </c>
      <c r="S1092" s="51"/>
      <c r="T1092" s="52"/>
      <c r="U1092" s="51">
        <v>17170.259999999998</v>
      </c>
      <c r="V1092" s="51"/>
      <c r="W1092" s="51"/>
      <c r="X1092" s="51"/>
      <c r="Y1092" s="19" t="s">
        <v>186</v>
      </c>
      <c r="Z1092" s="19"/>
      <c r="AA1092" s="28" t="s">
        <v>8451</v>
      </c>
      <c r="AB1092" s="56">
        <v>43432</v>
      </c>
      <c r="AC1092" s="28" t="s">
        <v>7062</v>
      </c>
      <c r="AD1092" s="28" t="s">
        <v>7063</v>
      </c>
      <c r="AE1092" s="54"/>
      <c r="AF1092" s="54"/>
      <c r="AG1092" s="54" t="s">
        <v>7086</v>
      </c>
      <c r="AH1092" s="53" t="s">
        <v>1591</v>
      </c>
      <c r="AI1092" s="53" t="s">
        <v>2686</v>
      </c>
      <c r="AJ1092" s="53" t="s">
        <v>1591</v>
      </c>
    </row>
    <row r="1093" spans="1:36" s="3" customFormat="1" ht="72" x14ac:dyDescent="0.25">
      <c r="A1093" s="17" t="s">
        <v>2722</v>
      </c>
      <c r="B1093" s="18" t="s">
        <v>37</v>
      </c>
      <c r="C1093" s="19" t="s">
        <v>3051</v>
      </c>
      <c r="D1093" s="45" t="s">
        <v>3052</v>
      </c>
      <c r="E1093" s="50" t="s">
        <v>3229</v>
      </c>
      <c r="F1093" s="58" t="s">
        <v>3227</v>
      </c>
      <c r="G1093" s="51">
        <v>2437500</v>
      </c>
      <c r="H1093" s="51">
        <v>101563</v>
      </c>
      <c r="I1093" s="50" t="s">
        <v>2723</v>
      </c>
      <c r="J1093" s="58" t="s">
        <v>2724</v>
      </c>
      <c r="K1093" s="52" t="s">
        <v>2725</v>
      </c>
      <c r="L1093" s="59">
        <v>41057</v>
      </c>
      <c r="M1093" s="60">
        <f>L1093+120</f>
        <v>41177</v>
      </c>
      <c r="N1093" s="51">
        <v>2529762.62</v>
      </c>
      <c r="O1093" s="59"/>
      <c r="P1093" s="59">
        <f>M1093+64*30</f>
        <v>43097</v>
      </c>
      <c r="Q1093" s="51"/>
      <c r="R1093" s="51">
        <f>N1093+Q1093</f>
        <v>2529762.62</v>
      </c>
      <c r="S1093" s="51"/>
      <c r="T1093" s="52">
        <v>44905100</v>
      </c>
      <c r="U1093" s="51">
        <v>1609745.42</v>
      </c>
      <c r="V1093" s="51"/>
      <c r="W1093" s="51"/>
      <c r="X1093" s="51">
        <v>1609745.42</v>
      </c>
      <c r="Y1093" s="19" t="s">
        <v>3361</v>
      </c>
      <c r="Z1093" s="19"/>
      <c r="AA1093" s="28" t="s">
        <v>8451</v>
      </c>
      <c r="AB1093" s="56">
        <v>43432</v>
      </c>
      <c r="AC1093" s="28" t="s">
        <v>7062</v>
      </c>
      <c r="AD1093" s="28" t="s">
        <v>7063</v>
      </c>
      <c r="AE1093" s="54"/>
      <c r="AF1093" s="54"/>
      <c r="AG1093" s="54" t="s">
        <v>7064</v>
      </c>
      <c r="AH1093" s="53" t="s">
        <v>1591</v>
      </c>
      <c r="AI1093" s="53" t="s">
        <v>2686</v>
      </c>
      <c r="AJ1093" s="53" t="s">
        <v>1591</v>
      </c>
    </row>
    <row r="1094" spans="1:36" s="3" customFormat="1" ht="60" x14ac:dyDescent="0.25">
      <c r="A1094" s="17" t="s">
        <v>2722</v>
      </c>
      <c r="B1094" s="18" t="s">
        <v>37</v>
      </c>
      <c r="C1094" s="19" t="s">
        <v>3049</v>
      </c>
      <c r="D1094" s="45" t="s">
        <v>3050</v>
      </c>
      <c r="E1094" s="50" t="s">
        <v>3228</v>
      </c>
      <c r="F1094" s="58" t="s">
        <v>3227</v>
      </c>
      <c r="G1094" s="51">
        <v>2047500</v>
      </c>
      <c r="H1094" s="51">
        <v>87500</v>
      </c>
      <c r="I1094" s="50" t="s">
        <v>2726</v>
      </c>
      <c r="J1094" s="58" t="s">
        <v>2727</v>
      </c>
      <c r="K1094" s="52">
        <v>2011</v>
      </c>
      <c r="L1094" s="59">
        <v>40973</v>
      </c>
      <c r="M1094" s="60">
        <f>L1094+120</f>
        <v>41093</v>
      </c>
      <c r="N1094" s="51">
        <v>2128659.9700000002</v>
      </c>
      <c r="O1094" s="59"/>
      <c r="P1094" s="59">
        <f>M1094+68*30</f>
        <v>43133</v>
      </c>
      <c r="Q1094" s="51">
        <v>-6573.69</v>
      </c>
      <c r="R1094" s="51">
        <f>N1094+Q1094</f>
        <v>2122086.2800000003</v>
      </c>
      <c r="S1094" s="51"/>
      <c r="T1094" s="52">
        <v>44905100</v>
      </c>
      <c r="U1094" s="51">
        <v>1906843.88</v>
      </c>
      <c r="V1094" s="51"/>
      <c r="W1094" s="51"/>
      <c r="X1094" s="51">
        <v>1906943.88</v>
      </c>
      <c r="Y1094" s="19" t="s">
        <v>3360</v>
      </c>
      <c r="Z1094" s="19"/>
      <c r="AA1094" s="28" t="s">
        <v>8451</v>
      </c>
      <c r="AB1094" s="56">
        <v>43432</v>
      </c>
      <c r="AC1094" s="28" t="s">
        <v>7062</v>
      </c>
      <c r="AD1094" s="28" t="s">
        <v>7063</v>
      </c>
      <c r="AE1094" s="54" t="s">
        <v>7066</v>
      </c>
      <c r="AF1094" s="54"/>
      <c r="AG1094" s="54" t="s">
        <v>7065</v>
      </c>
      <c r="AH1094" s="53" t="s">
        <v>1591</v>
      </c>
      <c r="AI1094" s="53" t="s">
        <v>2686</v>
      </c>
      <c r="AJ1094" s="53" t="s">
        <v>1591</v>
      </c>
    </row>
    <row r="1095" spans="1:36" s="3" customFormat="1" ht="36" x14ac:dyDescent="0.25">
      <c r="A1095" s="17" t="s">
        <v>2722</v>
      </c>
      <c r="B1095" s="18" t="s">
        <v>37</v>
      </c>
      <c r="C1095" s="19" t="s">
        <v>3069</v>
      </c>
      <c r="D1095" s="45" t="s">
        <v>3070</v>
      </c>
      <c r="E1095" s="50" t="s">
        <v>3239</v>
      </c>
      <c r="F1095" s="58" t="s">
        <v>1890</v>
      </c>
      <c r="G1095" s="51">
        <v>1404840.82</v>
      </c>
      <c r="H1095" s="51">
        <v>2845.2399999999898</v>
      </c>
      <c r="I1095" s="50" t="s">
        <v>2728</v>
      </c>
      <c r="J1095" s="58" t="s">
        <v>2729</v>
      </c>
      <c r="K1095" s="52">
        <v>2014</v>
      </c>
      <c r="L1095" s="59">
        <v>41832</v>
      </c>
      <c r="M1095" s="60">
        <f>L1095+300</f>
        <v>42132</v>
      </c>
      <c r="N1095" s="51">
        <v>1407686.06</v>
      </c>
      <c r="O1095" s="59"/>
      <c r="P1095" s="59">
        <f>M1095+50*30</f>
        <v>43632</v>
      </c>
      <c r="Q1095" s="51">
        <v>133940.37</v>
      </c>
      <c r="R1095" s="51">
        <f t="shared" ref="R1095:R1108" si="43">N1095+Q1095</f>
        <v>1541626.4300000002</v>
      </c>
      <c r="S1095" s="51"/>
      <c r="T1095" s="52">
        <v>33903900</v>
      </c>
      <c r="U1095" s="51">
        <v>1112006.3999999999</v>
      </c>
      <c r="V1095" s="51"/>
      <c r="W1095" s="51"/>
      <c r="X1095" s="51">
        <v>1112006.3999999999</v>
      </c>
      <c r="Y1095" s="19" t="s">
        <v>575</v>
      </c>
      <c r="Z1095" s="19"/>
      <c r="AA1095" s="28" t="s">
        <v>8451</v>
      </c>
      <c r="AB1095" s="56">
        <v>43432</v>
      </c>
      <c r="AC1095" s="28" t="s">
        <v>7062</v>
      </c>
      <c r="AD1095" s="28" t="s">
        <v>7063</v>
      </c>
      <c r="AE1095" s="54"/>
      <c r="AF1095" s="54"/>
      <c r="AG1095" s="54" t="s">
        <v>7067</v>
      </c>
      <c r="AH1095" s="53" t="s">
        <v>1591</v>
      </c>
      <c r="AI1095" s="53" t="s">
        <v>2686</v>
      </c>
      <c r="AJ1095" s="53" t="s">
        <v>1591</v>
      </c>
    </row>
    <row r="1096" spans="1:36" s="3" customFormat="1" ht="36" x14ac:dyDescent="0.25">
      <c r="A1096" s="17" t="s">
        <v>2722</v>
      </c>
      <c r="B1096" s="18" t="s">
        <v>37</v>
      </c>
      <c r="C1096" s="19" t="s">
        <v>1352</v>
      </c>
      <c r="D1096" s="45" t="s">
        <v>3064</v>
      </c>
      <c r="E1096" s="50" t="s">
        <v>3236</v>
      </c>
      <c r="F1096" s="58" t="s">
        <v>2730</v>
      </c>
      <c r="G1096" s="51">
        <v>1458288.98</v>
      </c>
      <c r="H1096" s="51">
        <v>60762.02</v>
      </c>
      <c r="I1096" s="50" t="s">
        <v>2731</v>
      </c>
      <c r="J1096" s="58" t="s">
        <v>3237</v>
      </c>
      <c r="K1096" s="52" t="s">
        <v>2022</v>
      </c>
      <c r="L1096" s="59">
        <v>41568</v>
      </c>
      <c r="M1096" s="60">
        <f>L1096+240</f>
        <v>41808</v>
      </c>
      <c r="N1096" s="51">
        <v>1519051</v>
      </c>
      <c r="O1096" s="59"/>
      <c r="P1096" s="59">
        <f>M1096+48*30</f>
        <v>43248</v>
      </c>
      <c r="Q1096" s="51"/>
      <c r="R1096" s="51">
        <f t="shared" si="43"/>
        <v>1519051</v>
      </c>
      <c r="S1096" s="51"/>
      <c r="T1096" s="52">
        <v>44905100</v>
      </c>
      <c r="U1096" s="51">
        <v>688939.15</v>
      </c>
      <c r="V1096" s="51"/>
      <c r="W1096" s="51"/>
      <c r="X1096" s="51">
        <v>688939.15</v>
      </c>
      <c r="Y1096" s="19" t="s">
        <v>575</v>
      </c>
      <c r="Z1096" s="19"/>
      <c r="AA1096" s="28" t="s">
        <v>8451</v>
      </c>
      <c r="AB1096" s="56">
        <v>43432</v>
      </c>
      <c r="AC1096" s="28" t="s">
        <v>7062</v>
      </c>
      <c r="AD1096" s="28" t="s">
        <v>7063</v>
      </c>
      <c r="AE1096" s="54"/>
      <c r="AF1096" s="54"/>
      <c r="AG1096" s="54" t="s">
        <v>7068</v>
      </c>
      <c r="AH1096" s="53" t="s">
        <v>1591</v>
      </c>
      <c r="AI1096" s="53" t="s">
        <v>2686</v>
      </c>
      <c r="AJ1096" s="53" t="s">
        <v>1591</v>
      </c>
    </row>
    <row r="1097" spans="1:36" s="3" customFormat="1" ht="60" x14ac:dyDescent="0.25">
      <c r="A1097" s="17" t="s">
        <v>2722</v>
      </c>
      <c r="B1097" s="18" t="s">
        <v>37</v>
      </c>
      <c r="C1097" s="19" t="s">
        <v>3065</v>
      </c>
      <c r="D1097" s="45" t="s">
        <v>3066</v>
      </c>
      <c r="E1097" s="50" t="s">
        <v>3238</v>
      </c>
      <c r="F1097" s="58" t="s">
        <v>3227</v>
      </c>
      <c r="G1097" s="51">
        <v>1394250</v>
      </c>
      <c r="H1097" s="51">
        <v>14547.75</v>
      </c>
      <c r="I1097" s="50" t="s">
        <v>2723</v>
      </c>
      <c r="J1097" s="58" t="s">
        <v>2740</v>
      </c>
      <c r="K1097" s="52">
        <v>2014</v>
      </c>
      <c r="L1097" s="59">
        <v>41822</v>
      </c>
      <c r="M1097" s="60">
        <f>L1097+120</f>
        <v>41942</v>
      </c>
      <c r="N1097" s="51">
        <v>1109537.1599999999</v>
      </c>
      <c r="O1097" s="59"/>
      <c r="P1097" s="59">
        <f>M1097+44*30</f>
        <v>43262</v>
      </c>
      <c r="Q1097" s="51">
        <v>-151494.14000000001</v>
      </c>
      <c r="R1097" s="51">
        <f t="shared" si="43"/>
        <v>958043.0199999999</v>
      </c>
      <c r="S1097" s="51"/>
      <c r="T1097" s="52">
        <v>44905100</v>
      </c>
      <c r="U1097" s="51"/>
      <c r="V1097" s="51"/>
      <c r="W1097" s="51"/>
      <c r="X1097" s="51"/>
      <c r="Y1097" s="19" t="s">
        <v>575</v>
      </c>
      <c r="Z1097" s="19"/>
      <c r="AA1097" s="28" t="s">
        <v>8451</v>
      </c>
      <c r="AB1097" s="56">
        <v>43432</v>
      </c>
      <c r="AC1097" s="28" t="s">
        <v>7062</v>
      </c>
      <c r="AD1097" s="28" t="s">
        <v>7063</v>
      </c>
      <c r="AE1097" s="54"/>
      <c r="AF1097" s="54"/>
      <c r="AG1097" s="54" t="s">
        <v>7069</v>
      </c>
      <c r="AH1097" s="53" t="s">
        <v>1591</v>
      </c>
      <c r="AI1097" s="53" t="s">
        <v>2686</v>
      </c>
      <c r="AJ1097" s="53" t="s">
        <v>1591</v>
      </c>
    </row>
    <row r="1098" spans="1:36" s="3" customFormat="1" ht="96" x14ac:dyDescent="0.25">
      <c r="A1098" s="17" t="s">
        <v>2722</v>
      </c>
      <c r="B1098" s="18" t="s">
        <v>37</v>
      </c>
      <c r="C1098" s="19" t="s">
        <v>1474</v>
      </c>
      <c r="D1098" s="45" t="s">
        <v>3080</v>
      </c>
      <c r="E1098" s="50" t="s">
        <v>3250</v>
      </c>
      <c r="F1098" s="58" t="s">
        <v>3245</v>
      </c>
      <c r="G1098" s="51">
        <v>408000</v>
      </c>
      <c r="H1098" s="51">
        <v>82872.289999999994</v>
      </c>
      <c r="I1098" s="50" t="s">
        <v>3251</v>
      </c>
      <c r="J1098" s="58" t="s">
        <v>2743</v>
      </c>
      <c r="K1098" s="52">
        <v>2016</v>
      </c>
      <c r="L1098" s="59">
        <v>42552</v>
      </c>
      <c r="M1098" s="60">
        <f>L1098+120</f>
        <v>42672</v>
      </c>
      <c r="N1098" s="51">
        <v>898872.29</v>
      </c>
      <c r="O1098" s="59" t="s">
        <v>3311</v>
      </c>
      <c r="P1098" s="59">
        <f>M1098+16*30</f>
        <v>43152</v>
      </c>
      <c r="Q1098" s="51"/>
      <c r="R1098" s="51">
        <f t="shared" si="43"/>
        <v>898872.29</v>
      </c>
      <c r="S1098" s="51"/>
      <c r="T1098" s="52">
        <v>44905100</v>
      </c>
      <c r="U1098" s="51">
        <v>180291.73</v>
      </c>
      <c r="V1098" s="51">
        <v>100299.88</v>
      </c>
      <c r="W1098" s="51">
        <v>100299.88</v>
      </c>
      <c r="X1098" s="51">
        <v>180291.73</v>
      </c>
      <c r="Y1098" s="19" t="s">
        <v>575</v>
      </c>
      <c r="Z1098" s="19"/>
      <c r="AA1098" s="28" t="s">
        <v>8451</v>
      </c>
      <c r="AB1098" s="56">
        <v>43432</v>
      </c>
      <c r="AC1098" s="28" t="s">
        <v>7062</v>
      </c>
      <c r="AD1098" s="28" t="s">
        <v>7063</v>
      </c>
      <c r="AE1098" s="54"/>
      <c r="AF1098" s="54"/>
      <c r="AG1098" s="54" t="s">
        <v>7070</v>
      </c>
      <c r="AH1098" s="53" t="s">
        <v>1591</v>
      </c>
      <c r="AI1098" s="53" t="s">
        <v>2686</v>
      </c>
      <c r="AJ1098" s="53" t="s">
        <v>1591</v>
      </c>
    </row>
    <row r="1099" spans="1:36" s="3" customFormat="1" ht="60" x14ac:dyDescent="0.25">
      <c r="A1099" s="17" t="s">
        <v>2722</v>
      </c>
      <c r="B1099" s="18" t="s">
        <v>37</v>
      </c>
      <c r="C1099" s="19" t="s">
        <v>3057</v>
      </c>
      <c r="D1099" s="45" t="s">
        <v>2732</v>
      </c>
      <c r="E1099" s="50" t="s">
        <v>2511</v>
      </c>
      <c r="F1099" s="58" t="s">
        <v>3232</v>
      </c>
      <c r="G1099" s="51">
        <v>699995.14</v>
      </c>
      <c r="H1099" s="51">
        <v>73736.639999999999</v>
      </c>
      <c r="I1099" s="50" t="s">
        <v>2733</v>
      </c>
      <c r="J1099" s="58" t="s">
        <v>2734</v>
      </c>
      <c r="K1099" s="52">
        <v>2012</v>
      </c>
      <c r="L1099" s="59">
        <v>41162</v>
      </c>
      <c r="M1099" s="60">
        <f>L1099+90</f>
        <v>41252</v>
      </c>
      <c r="N1099" s="51">
        <v>767517.45</v>
      </c>
      <c r="O1099" s="59"/>
      <c r="P1099" s="59">
        <f>M1099+63*30</f>
        <v>43142</v>
      </c>
      <c r="Q1099" s="51"/>
      <c r="R1099" s="51">
        <f t="shared" si="43"/>
        <v>767517.45</v>
      </c>
      <c r="S1099" s="51"/>
      <c r="T1099" s="52">
        <v>44905100</v>
      </c>
      <c r="U1099" s="51">
        <v>514544.73</v>
      </c>
      <c r="V1099" s="51"/>
      <c r="W1099" s="51"/>
      <c r="X1099" s="51">
        <v>514544.73</v>
      </c>
      <c r="Y1099" s="19" t="s">
        <v>3362</v>
      </c>
      <c r="Z1099" s="19"/>
      <c r="AA1099" s="28" t="s">
        <v>8451</v>
      </c>
      <c r="AB1099" s="56">
        <v>43432</v>
      </c>
      <c r="AC1099" s="28" t="s">
        <v>7062</v>
      </c>
      <c r="AD1099" s="28" t="s">
        <v>7063</v>
      </c>
      <c r="AE1099" s="54"/>
      <c r="AF1099" s="54"/>
      <c r="AG1099" s="54" t="s">
        <v>7071</v>
      </c>
      <c r="AH1099" s="53" t="s">
        <v>1591</v>
      </c>
      <c r="AI1099" s="53" t="s">
        <v>2686</v>
      </c>
      <c r="AJ1099" s="53" t="s">
        <v>1591</v>
      </c>
    </row>
    <row r="1100" spans="1:36" s="3" customFormat="1" ht="72" x14ac:dyDescent="0.25">
      <c r="A1100" s="17" t="s">
        <v>2722</v>
      </c>
      <c r="B1100" s="18" t="s">
        <v>37</v>
      </c>
      <c r="C1100" s="19" t="s">
        <v>3047</v>
      </c>
      <c r="D1100" s="45" t="s">
        <v>3048</v>
      </c>
      <c r="E1100" s="50" t="s">
        <v>3226</v>
      </c>
      <c r="F1100" s="58" t="s">
        <v>3227</v>
      </c>
      <c r="G1100" s="51">
        <v>536250</v>
      </c>
      <c r="H1100" s="51">
        <v>22761.58</v>
      </c>
      <c r="I1100" s="50" t="s">
        <v>2733</v>
      </c>
      <c r="J1100" s="58" t="s">
        <v>2734</v>
      </c>
      <c r="K1100" s="52">
        <v>2011</v>
      </c>
      <c r="L1100" s="59">
        <v>40683</v>
      </c>
      <c r="M1100" s="60">
        <f>L1100+120</f>
        <v>40803</v>
      </c>
      <c r="N1100" s="51">
        <v>549623.79</v>
      </c>
      <c r="O1100" s="59"/>
      <c r="P1100" s="59">
        <f>M1100+76*30</f>
        <v>43083</v>
      </c>
      <c r="Q1100" s="51">
        <v>-10093.5</v>
      </c>
      <c r="R1100" s="51">
        <f t="shared" si="43"/>
        <v>539530.29</v>
      </c>
      <c r="S1100" s="51"/>
      <c r="T1100" s="52">
        <v>44905100</v>
      </c>
      <c r="U1100" s="51">
        <v>399561.06</v>
      </c>
      <c r="V1100" s="51"/>
      <c r="W1100" s="51"/>
      <c r="X1100" s="51">
        <v>399561.06</v>
      </c>
      <c r="Y1100" s="19" t="s">
        <v>3361</v>
      </c>
      <c r="Z1100" s="19"/>
      <c r="AA1100" s="28" t="s">
        <v>8451</v>
      </c>
      <c r="AB1100" s="56">
        <v>43432</v>
      </c>
      <c r="AC1100" s="28" t="s">
        <v>7062</v>
      </c>
      <c r="AD1100" s="28" t="s">
        <v>7063</v>
      </c>
      <c r="AE1100" s="54" t="s">
        <v>7073</v>
      </c>
      <c r="AF1100" s="54"/>
      <c r="AG1100" s="54" t="s">
        <v>7072</v>
      </c>
      <c r="AH1100" s="53" t="s">
        <v>1591</v>
      </c>
      <c r="AI1100" s="53" t="s">
        <v>2686</v>
      </c>
      <c r="AJ1100" s="53" t="s">
        <v>1591</v>
      </c>
    </row>
    <row r="1101" spans="1:36" s="3" customFormat="1" ht="36" x14ac:dyDescent="0.25">
      <c r="A1101" s="17" t="s">
        <v>2722</v>
      </c>
      <c r="B1101" s="18" t="s">
        <v>37</v>
      </c>
      <c r="C1101" s="19" t="s">
        <v>3060</v>
      </c>
      <c r="D1101" s="45" t="s">
        <v>3061</v>
      </c>
      <c r="E1101" s="50" t="s">
        <v>3233</v>
      </c>
      <c r="F1101" s="58" t="s">
        <v>3225</v>
      </c>
      <c r="G1101" s="51">
        <v>493100</v>
      </c>
      <c r="H1101" s="51">
        <v>86825.230000000098</v>
      </c>
      <c r="I1101" s="50" t="s">
        <v>2726</v>
      </c>
      <c r="J1101" s="58" t="s">
        <v>2735</v>
      </c>
      <c r="K1101" s="52">
        <v>2013</v>
      </c>
      <c r="L1101" s="59">
        <v>41491</v>
      </c>
      <c r="M1101" s="60">
        <f>L1101+120</f>
        <v>41611</v>
      </c>
      <c r="N1101" s="51">
        <v>579925.23</v>
      </c>
      <c r="O1101" s="59"/>
      <c r="P1101" s="59">
        <f>M1101+52*30</f>
        <v>43171</v>
      </c>
      <c r="Q1101" s="51">
        <v>-53410.81</v>
      </c>
      <c r="R1101" s="51">
        <f t="shared" si="43"/>
        <v>526514.41999999993</v>
      </c>
      <c r="S1101" s="51"/>
      <c r="T1101" s="52">
        <v>44905100</v>
      </c>
      <c r="U1101" s="51">
        <v>339738.91</v>
      </c>
      <c r="V1101" s="51"/>
      <c r="W1101" s="51"/>
      <c r="X1101" s="51">
        <v>339738.91</v>
      </c>
      <c r="Y1101" s="19" t="s">
        <v>575</v>
      </c>
      <c r="Z1101" s="19"/>
      <c r="AA1101" s="28" t="s">
        <v>8451</v>
      </c>
      <c r="AB1101" s="56">
        <v>43432</v>
      </c>
      <c r="AC1101" s="28" t="s">
        <v>7062</v>
      </c>
      <c r="AD1101" s="28" t="s">
        <v>7063</v>
      </c>
      <c r="AE1101" s="54" t="s">
        <v>7073</v>
      </c>
      <c r="AF1101" s="54"/>
      <c r="AG1101" s="54" t="s">
        <v>7074</v>
      </c>
      <c r="AH1101" s="53" t="s">
        <v>1591</v>
      </c>
      <c r="AI1101" s="53" t="s">
        <v>2686</v>
      </c>
      <c r="AJ1101" s="53" t="s">
        <v>1591</v>
      </c>
    </row>
    <row r="1102" spans="1:36" s="3" customFormat="1" ht="60" x14ac:dyDescent="0.25">
      <c r="A1102" s="17" t="s">
        <v>2722</v>
      </c>
      <c r="B1102" s="18" t="s">
        <v>37</v>
      </c>
      <c r="C1102" s="19" t="s">
        <v>3062</v>
      </c>
      <c r="D1102" s="45" t="s">
        <v>3063</v>
      </c>
      <c r="E1102" s="50" t="s">
        <v>3234</v>
      </c>
      <c r="F1102" s="58" t="s">
        <v>3235</v>
      </c>
      <c r="G1102" s="51">
        <v>399978.06</v>
      </c>
      <c r="H1102" s="51">
        <v>112719.42</v>
      </c>
      <c r="I1102" s="50" t="s">
        <v>2726</v>
      </c>
      <c r="J1102" s="58" t="s">
        <v>2735</v>
      </c>
      <c r="K1102" s="52">
        <v>2013</v>
      </c>
      <c r="L1102" s="59">
        <v>41530</v>
      </c>
      <c r="M1102" s="60">
        <f>L1102+120</f>
        <v>41650</v>
      </c>
      <c r="N1102" s="51">
        <v>512697.48</v>
      </c>
      <c r="O1102" s="59"/>
      <c r="P1102" s="59">
        <f>M1102+48*30</f>
        <v>43090</v>
      </c>
      <c r="Q1102" s="51"/>
      <c r="R1102" s="51">
        <f t="shared" si="43"/>
        <v>512697.48</v>
      </c>
      <c r="S1102" s="51"/>
      <c r="T1102" s="52">
        <v>44905100</v>
      </c>
      <c r="U1102" s="51">
        <v>293452.77</v>
      </c>
      <c r="V1102" s="51"/>
      <c r="W1102" s="51"/>
      <c r="X1102" s="51">
        <v>293452.77</v>
      </c>
      <c r="Y1102" s="19" t="s">
        <v>3362</v>
      </c>
      <c r="Z1102" s="19"/>
      <c r="AA1102" s="28" t="s">
        <v>8451</v>
      </c>
      <c r="AB1102" s="56">
        <v>43432</v>
      </c>
      <c r="AC1102" s="28" t="s">
        <v>7062</v>
      </c>
      <c r="AD1102" s="28" t="s">
        <v>7063</v>
      </c>
      <c r="AE1102" s="54" t="s">
        <v>7073</v>
      </c>
      <c r="AF1102" s="54"/>
      <c r="AG1102" s="54" t="s">
        <v>7075</v>
      </c>
      <c r="AH1102" s="53" t="s">
        <v>1591</v>
      </c>
      <c r="AI1102" s="53" t="s">
        <v>2686</v>
      </c>
      <c r="AJ1102" s="53" t="s">
        <v>1591</v>
      </c>
    </row>
    <row r="1103" spans="1:36" s="3" customFormat="1" ht="60" x14ac:dyDescent="0.25">
      <c r="A1103" s="17" t="s">
        <v>2722</v>
      </c>
      <c r="B1103" s="18" t="s">
        <v>37</v>
      </c>
      <c r="C1103" s="19" t="s">
        <v>3078</v>
      </c>
      <c r="D1103" s="45" t="s">
        <v>3079</v>
      </c>
      <c r="E1103" s="50" t="s">
        <v>3248</v>
      </c>
      <c r="F1103" s="58" t="s">
        <v>3245</v>
      </c>
      <c r="G1103" s="51">
        <v>180000</v>
      </c>
      <c r="H1103" s="51">
        <v>18333.440000000101</v>
      </c>
      <c r="I1103" s="50" t="s">
        <v>3249</v>
      </c>
      <c r="J1103" s="58" t="s">
        <v>2739</v>
      </c>
      <c r="K1103" s="52">
        <v>2013</v>
      </c>
      <c r="L1103" s="59">
        <v>41624</v>
      </c>
      <c r="M1103" s="60">
        <f>L1103+150</f>
        <v>41774</v>
      </c>
      <c r="N1103" s="51">
        <v>583317.46</v>
      </c>
      <c r="O1103" s="59" t="s">
        <v>3310</v>
      </c>
      <c r="P1103" s="59">
        <f>M1103+66*30</f>
        <v>43754</v>
      </c>
      <c r="Q1103" s="51">
        <v>-104982.02</v>
      </c>
      <c r="R1103" s="51">
        <f t="shared" si="43"/>
        <v>478335.43999999994</v>
      </c>
      <c r="S1103" s="51"/>
      <c r="T1103" s="52">
        <v>44905100</v>
      </c>
      <c r="U1103" s="51">
        <v>406378.29</v>
      </c>
      <c r="V1103" s="51"/>
      <c r="W1103" s="51"/>
      <c r="X1103" s="51"/>
      <c r="Y1103" s="19" t="s">
        <v>575</v>
      </c>
      <c r="Z1103" s="19"/>
      <c r="AA1103" s="28" t="s">
        <v>8451</v>
      </c>
      <c r="AB1103" s="56">
        <v>43432</v>
      </c>
      <c r="AC1103" s="28" t="s">
        <v>7062</v>
      </c>
      <c r="AD1103" s="28" t="s">
        <v>7063</v>
      </c>
      <c r="AE1103" s="54"/>
      <c r="AF1103" s="54"/>
      <c r="AG1103" s="54" t="s">
        <v>7076</v>
      </c>
      <c r="AH1103" s="53" t="s">
        <v>1591</v>
      </c>
      <c r="AI1103" s="53" t="s">
        <v>2686</v>
      </c>
      <c r="AJ1103" s="53" t="s">
        <v>1591</v>
      </c>
    </row>
    <row r="1104" spans="1:36" s="3" customFormat="1" ht="60" x14ac:dyDescent="0.25">
      <c r="A1104" s="17" t="s">
        <v>2722</v>
      </c>
      <c r="B1104" s="18" t="s">
        <v>37</v>
      </c>
      <c r="C1104" s="19" t="s">
        <v>3076</v>
      </c>
      <c r="D1104" s="45" t="s">
        <v>3077</v>
      </c>
      <c r="E1104" s="50" t="s">
        <v>3246</v>
      </c>
      <c r="F1104" s="58" t="s">
        <v>3245</v>
      </c>
      <c r="G1104" s="51">
        <v>180000</v>
      </c>
      <c r="H1104" s="51">
        <v>18333.440000000101</v>
      </c>
      <c r="I1104" s="50" t="s">
        <v>3247</v>
      </c>
      <c r="J1104" s="58" t="s">
        <v>2739</v>
      </c>
      <c r="K1104" s="52">
        <v>2013</v>
      </c>
      <c r="L1104" s="59">
        <v>41624</v>
      </c>
      <c r="M1104" s="60">
        <f>L1104+120</f>
        <v>41744</v>
      </c>
      <c r="N1104" s="51">
        <v>583316.46</v>
      </c>
      <c r="O1104" s="59" t="s">
        <v>3309</v>
      </c>
      <c r="P1104" s="59">
        <f>M1104+65*30</f>
        <v>43694</v>
      </c>
      <c r="Q1104" s="51">
        <v>-104982.02</v>
      </c>
      <c r="R1104" s="51">
        <f t="shared" si="43"/>
        <v>478334.43999999994</v>
      </c>
      <c r="S1104" s="51"/>
      <c r="T1104" s="52">
        <v>44905100</v>
      </c>
      <c r="U1104" s="51">
        <v>406378.29</v>
      </c>
      <c r="V1104" s="51"/>
      <c r="W1104" s="51"/>
      <c r="X1104" s="51"/>
      <c r="Y1104" s="19" t="s">
        <v>33</v>
      </c>
      <c r="Z1104" s="19"/>
      <c r="AA1104" s="28" t="s">
        <v>8451</v>
      </c>
      <c r="AB1104" s="56">
        <v>43432</v>
      </c>
      <c r="AC1104" s="28" t="s">
        <v>7062</v>
      </c>
      <c r="AD1104" s="28" t="s">
        <v>7063</v>
      </c>
      <c r="AE1104" s="54"/>
      <c r="AF1104" s="54"/>
      <c r="AG1104" s="54" t="s">
        <v>7076</v>
      </c>
      <c r="AH1104" s="53" t="s">
        <v>1591</v>
      </c>
      <c r="AI1104" s="53" t="s">
        <v>2686</v>
      </c>
      <c r="AJ1104" s="53" t="s">
        <v>1591</v>
      </c>
    </row>
    <row r="1105" spans="1:36" s="3" customFormat="1" ht="60" x14ac:dyDescent="0.25">
      <c r="A1105" s="17" t="s">
        <v>2722</v>
      </c>
      <c r="B1105" s="18" t="s">
        <v>37</v>
      </c>
      <c r="C1105" s="19" t="s">
        <v>3074</v>
      </c>
      <c r="D1105" s="45" t="s">
        <v>3075</v>
      </c>
      <c r="E1105" s="50" t="s">
        <v>3244</v>
      </c>
      <c r="F1105" s="58" t="s">
        <v>3245</v>
      </c>
      <c r="G1105" s="51">
        <v>100000</v>
      </c>
      <c r="H1105" s="51">
        <v>18333.440000000101</v>
      </c>
      <c r="I1105" s="50" t="s">
        <v>2738</v>
      </c>
      <c r="J1105" s="58" t="s">
        <v>2739</v>
      </c>
      <c r="K1105" s="52">
        <v>2013</v>
      </c>
      <c r="L1105" s="59">
        <v>41624</v>
      </c>
      <c r="M1105" s="60">
        <f>L1105+90</f>
        <v>41714</v>
      </c>
      <c r="N1105" s="51">
        <v>583315.46</v>
      </c>
      <c r="O1105" s="59" t="s">
        <v>3308</v>
      </c>
      <c r="P1105" s="59">
        <f>M1105+64*30</f>
        <v>43634</v>
      </c>
      <c r="Q1105" s="51">
        <v>-104982.02</v>
      </c>
      <c r="R1105" s="51">
        <f t="shared" si="43"/>
        <v>478333.43999999994</v>
      </c>
      <c r="S1105" s="51"/>
      <c r="T1105" s="52">
        <v>44905100</v>
      </c>
      <c r="U1105" s="51">
        <v>406378.29</v>
      </c>
      <c r="V1105" s="51"/>
      <c r="W1105" s="51"/>
      <c r="X1105" s="51">
        <v>406381.29</v>
      </c>
      <c r="Y1105" s="19" t="s">
        <v>575</v>
      </c>
      <c r="Z1105" s="19"/>
      <c r="AA1105" s="28" t="s">
        <v>8451</v>
      </c>
      <c r="AB1105" s="56">
        <v>43432</v>
      </c>
      <c r="AC1105" s="28" t="s">
        <v>7062</v>
      </c>
      <c r="AD1105" s="28" t="s">
        <v>7063</v>
      </c>
      <c r="AE1105" s="54"/>
      <c r="AF1105" s="54"/>
      <c r="AG1105" s="54" t="s">
        <v>7076</v>
      </c>
      <c r="AH1105" s="53" t="s">
        <v>1591</v>
      </c>
      <c r="AI1105" s="53" t="s">
        <v>2686</v>
      </c>
      <c r="AJ1105" s="53" t="s">
        <v>1591</v>
      </c>
    </row>
    <row r="1106" spans="1:36" s="3" customFormat="1" ht="60" x14ac:dyDescent="0.25">
      <c r="A1106" s="17" t="s">
        <v>2722</v>
      </c>
      <c r="B1106" s="18" t="s">
        <v>37</v>
      </c>
      <c r="C1106" s="19" t="s">
        <v>3058</v>
      </c>
      <c r="D1106" s="45" t="s">
        <v>3059</v>
      </c>
      <c r="E1106" s="50" t="s">
        <v>3230</v>
      </c>
      <c r="F1106" s="58" t="s">
        <v>3227</v>
      </c>
      <c r="G1106" s="51">
        <v>253001.69</v>
      </c>
      <c r="H1106" s="51">
        <v>10541.74</v>
      </c>
      <c r="I1106" s="50" t="s">
        <v>2728</v>
      </c>
      <c r="J1106" s="58" t="s">
        <v>2843</v>
      </c>
      <c r="K1106" s="52">
        <v>2013</v>
      </c>
      <c r="L1106" s="59">
        <v>41465</v>
      </c>
      <c r="M1106" s="60">
        <f>L1106+120</f>
        <v>41585</v>
      </c>
      <c r="N1106" s="51">
        <v>263543.43</v>
      </c>
      <c r="O1106" s="59"/>
      <c r="P1106" s="59">
        <f>M1106+52*30</f>
        <v>43145</v>
      </c>
      <c r="Q1106" s="51"/>
      <c r="R1106" s="51">
        <f t="shared" si="43"/>
        <v>263543.43</v>
      </c>
      <c r="S1106" s="51"/>
      <c r="T1106" s="52">
        <v>44905100</v>
      </c>
      <c r="U1106" s="51">
        <v>165534.65</v>
      </c>
      <c r="V1106" s="51"/>
      <c r="W1106" s="51"/>
      <c r="X1106" s="51">
        <v>165534.65</v>
      </c>
      <c r="Y1106" s="19" t="s">
        <v>3360</v>
      </c>
      <c r="Z1106" s="19"/>
      <c r="AA1106" s="28" t="s">
        <v>8451</v>
      </c>
      <c r="AB1106" s="56">
        <v>43432</v>
      </c>
      <c r="AC1106" s="28" t="s">
        <v>7062</v>
      </c>
      <c r="AD1106" s="28" t="s">
        <v>7063</v>
      </c>
      <c r="AE1106" s="54" t="s">
        <v>7078</v>
      </c>
      <c r="AF1106" s="54"/>
      <c r="AG1106" s="54" t="s">
        <v>7077</v>
      </c>
      <c r="AH1106" s="53" t="s">
        <v>1591</v>
      </c>
      <c r="AI1106" s="53" t="s">
        <v>2686</v>
      </c>
      <c r="AJ1106" s="53" t="s">
        <v>1591</v>
      </c>
    </row>
    <row r="1107" spans="1:36" s="3" customFormat="1" ht="72" x14ac:dyDescent="0.25">
      <c r="A1107" s="17" t="s">
        <v>2722</v>
      </c>
      <c r="B1107" s="18" t="s">
        <v>37</v>
      </c>
      <c r="C1107" s="19" t="s">
        <v>3055</v>
      </c>
      <c r="D1107" s="45" t="s">
        <v>3056</v>
      </c>
      <c r="E1107" s="50" t="s">
        <v>3231</v>
      </c>
      <c r="F1107" s="58" t="s">
        <v>3227</v>
      </c>
      <c r="G1107" s="51">
        <v>487500</v>
      </c>
      <c r="H1107" s="51">
        <v>20320</v>
      </c>
      <c r="I1107" s="50" t="s">
        <v>2723</v>
      </c>
      <c r="J1107" s="58" t="s">
        <v>2740</v>
      </c>
      <c r="K1107" s="52" t="s">
        <v>2725</v>
      </c>
      <c r="L1107" s="59" t="s">
        <v>2937</v>
      </c>
      <c r="M1107" s="60">
        <f>L1107+120</f>
        <v>41186</v>
      </c>
      <c r="N1107" s="51">
        <v>252661.69</v>
      </c>
      <c r="O1107" s="59"/>
      <c r="P1107" s="59">
        <f>M1107+64*30</f>
        <v>43106</v>
      </c>
      <c r="Q1107" s="51"/>
      <c r="R1107" s="51">
        <f t="shared" si="43"/>
        <v>252661.69</v>
      </c>
      <c r="S1107" s="51"/>
      <c r="T1107" s="52">
        <v>44905100</v>
      </c>
      <c r="U1107" s="51">
        <v>5445.1</v>
      </c>
      <c r="V1107" s="51"/>
      <c r="W1107" s="51"/>
      <c r="X1107" s="51">
        <v>5445.1</v>
      </c>
      <c r="Y1107" s="19" t="s">
        <v>3361</v>
      </c>
      <c r="Z1107" s="19"/>
      <c r="AA1107" s="28" t="s">
        <v>8451</v>
      </c>
      <c r="AB1107" s="56">
        <v>43432</v>
      </c>
      <c r="AC1107" s="28" t="s">
        <v>7062</v>
      </c>
      <c r="AD1107" s="28" t="s">
        <v>7063</v>
      </c>
      <c r="AE1107" s="54"/>
      <c r="AF1107" s="54"/>
      <c r="AG1107" s="54" t="s">
        <v>7079</v>
      </c>
      <c r="AH1107" s="53" t="s">
        <v>1591</v>
      </c>
      <c r="AI1107" s="53" t="s">
        <v>2686</v>
      </c>
      <c r="AJ1107" s="53" t="s">
        <v>1591</v>
      </c>
    </row>
    <row r="1108" spans="1:36" s="3" customFormat="1" ht="24" x14ac:dyDescent="0.25">
      <c r="A1108" s="17" t="s">
        <v>2722</v>
      </c>
      <c r="B1108" s="18" t="s">
        <v>37</v>
      </c>
      <c r="C1108" s="19" t="s">
        <v>3067</v>
      </c>
      <c r="D1108" s="45" t="s">
        <v>3068</v>
      </c>
      <c r="E1108" s="50" t="s">
        <v>3239</v>
      </c>
      <c r="F1108" s="58" t="s">
        <v>1890</v>
      </c>
      <c r="G1108" s="51">
        <v>255509.6</v>
      </c>
      <c r="H1108" s="51"/>
      <c r="I1108" s="50" t="s">
        <v>2741</v>
      </c>
      <c r="J1108" s="58" t="s">
        <v>2742</v>
      </c>
      <c r="K1108" s="52">
        <v>2014</v>
      </c>
      <c r="L1108" s="59">
        <v>41865</v>
      </c>
      <c r="M1108" s="60">
        <f>L1108+90</f>
        <v>41955</v>
      </c>
      <c r="N1108" s="51">
        <v>236857.4</v>
      </c>
      <c r="O1108" s="59"/>
      <c r="P1108" s="59">
        <f>M1108+33*30</f>
        <v>42945</v>
      </c>
      <c r="Q1108" s="51"/>
      <c r="R1108" s="51">
        <f t="shared" si="43"/>
        <v>236857.4</v>
      </c>
      <c r="S1108" s="51"/>
      <c r="T1108" s="52">
        <v>44905100</v>
      </c>
      <c r="U1108" s="51">
        <v>251221.28</v>
      </c>
      <c r="V1108" s="51"/>
      <c r="W1108" s="51"/>
      <c r="X1108" s="51">
        <v>204423.05</v>
      </c>
      <c r="Y1108" s="19" t="s">
        <v>33</v>
      </c>
      <c r="Z1108" s="19"/>
      <c r="AA1108" s="28" t="s">
        <v>8451</v>
      </c>
      <c r="AB1108" s="56">
        <v>43432</v>
      </c>
      <c r="AC1108" s="28" t="s">
        <v>7062</v>
      </c>
      <c r="AD1108" s="28" t="s">
        <v>7063</v>
      </c>
      <c r="AE1108" s="54" t="s">
        <v>7080</v>
      </c>
      <c r="AF1108" s="54"/>
      <c r="AG1108" s="54" t="s">
        <v>7081</v>
      </c>
      <c r="AH1108" s="53" t="s">
        <v>1591</v>
      </c>
      <c r="AI1108" s="53" t="s">
        <v>2686</v>
      </c>
      <c r="AJ1108" s="53" t="s">
        <v>1591</v>
      </c>
    </row>
    <row r="1109" spans="1:36" s="3" customFormat="1" ht="36" x14ac:dyDescent="0.25">
      <c r="A1109" s="35" t="s">
        <v>2722</v>
      </c>
      <c r="B1109" s="18" t="s">
        <v>37</v>
      </c>
      <c r="C1109" s="76"/>
      <c r="D1109" s="43" t="s">
        <v>5640</v>
      </c>
      <c r="E1109" s="78"/>
      <c r="F1109" s="36"/>
      <c r="G1109" s="80"/>
      <c r="H1109" s="80"/>
      <c r="I1109" s="36" t="s">
        <v>5641</v>
      </c>
      <c r="J1109" s="34" t="s">
        <v>5642</v>
      </c>
      <c r="K1109" s="37">
        <v>2012</v>
      </c>
      <c r="L1109" s="38">
        <v>41033</v>
      </c>
      <c r="M1109" s="39">
        <v>41153</v>
      </c>
      <c r="N1109" s="42">
        <v>224074.71</v>
      </c>
      <c r="O1109" s="85">
        <v>41156</v>
      </c>
      <c r="P1109" s="86">
        <v>42353</v>
      </c>
      <c r="Q1109" s="41">
        <v>8751.15</v>
      </c>
      <c r="R1109" s="41">
        <v>232825.86</v>
      </c>
      <c r="S1109" s="80"/>
      <c r="T1109" s="81"/>
      <c r="U1109" s="80"/>
      <c r="V1109" s="80"/>
      <c r="W1109" s="42"/>
      <c r="X1109" s="42">
        <v>186297.75</v>
      </c>
      <c r="Y1109" s="34" t="s">
        <v>4321</v>
      </c>
      <c r="Z1109" s="19" t="s">
        <v>7038</v>
      </c>
      <c r="AA1109" s="28" t="s">
        <v>8451</v>
      </c>
      <c r="AB1109" s="56">
        <v>43432</v>
      </c>
      <c r="AC1109" s="28" t="s">
        <v>7062</v>
      </c>
      <c r="AD1109" s="28" t="s">
        <v>7063</v>
      </c>
      <c r="AE1109" s="54" t="s">
        <v>7080</v>
      </c>
      <c r="AF1109" s="54"/>
      <c r="AG1109" s="54" t="s">
        <v>7082</v>
      </c>
      <c r="AH1109" s="53" t="s">
        <v>1591</v>
      </c>
      <c r="AI1109" s="53" t="s">
        <v>2686</v>
      </c>
      <c r="AJ1109" s="53" t="s">
        <v>1591</v>
      </c>
    </row>
    <row r="1110" spans="1:36" s="3" customFormat="1" ht="36" x14ac:dyDescent="0.25">
      <c r="A1110" s="17" t="s">
        <v>2722</v>
      </c>
      <c r="B1110" s="18" t="s">
        <v>37</v>
      </c>
      <c r="C1110" s="19" t="s">
        <v>3071</v>
      </c>
      <c r="D1110" s="45" t="s">
        <v>2736</v>
      </c>
      <c r="E1110" s="50" t="s">
        <v>3240</v>
      </c>
      <c r="F1110" s="58" t="s">
        <v>3227</v>
      </c>
      <c r="G1110" s="51">
        <v>811950.95</v>
      </c>
      <c r="H1110" s="51">
        <v>8905.65</v>
      </c>
      <c r="I1110" s="50" t="s">
        <v>2715</v>
      </c>
      <c r="J1110" s="58" t="s">
        <v>2737</v>
      </c>
      <c r="K1110" s="52">
        <v>2014</v>
      </c>
      <c r="L1110" s="59">
        <v>41863</v>
      </c>
      <c r="M1110" s="60">
        <f>L1110+120</f>
        <v>41983</v>
      </c>
      <c r="N1110" s="51">
        <v>170687.17</v>
      </c>
      <c r="O1110" s="59"/>
      <c r="P1110" s="59">
        <f>M1110+40*30</f>
        <v>43183</v>
      </c>
      <c r="Q1110" s="51">
        <f xml:space="preserve"> 201145.53-N1110</f>
        <v>30458.359999999986</v>
      </c>
      <c r="R1110" s="51">
        <f>N1110+Q1110</f>
        <v>201145.53</v>
      </c>
      <c r="S1110" s="51"/>
      <c r="T1110" s="52">
        <v>44905100</v>
      </c>
      <c r="U1110" s="51">
        <v>583911.77</v>
      </c>
      <c r="V1110" s="51"/>
      <c r="W1110" s="51"/>
      <c r="X1110" s="51">
        <v>355581</v>
      </c>
      <c r="Y1110" s="19" t="s">
        <v>186</v>
      </c>
      <c r="Z1110" s="19"/>
      <c r="AA1110" s="28" t="s">
        <v>8451</v>
      </c>
      <c r="AB1110" s="56">
        <v>43432</v>
      </c>
      <c r="AC1110" s="28" t="s">
        <v>7062</v>
      </c>
      <c r="AD1110" s="28" t="s">
        <v>7063</v>
      </c>
      <c r="AE1110" s="54"/>
      <c r="AF1110" s="54"/>
      <c r="AG1110" s="54" t="s">
        <v>7085</v>
      </c>
      <c r="AH1110" s="53" t="s">
        <v>1591</v>
      </c>
      <c r="AI1110" s="53" t="s">
        <v>2686</v>
      </c>
      <c r="AJ1110" s="53" t="s">
        <v>1591</v>
      </c>
    </row>
    <row r="1111" spans="1:36" s="3" customFormat="1" ht="48" x14ac:dyDescent="0.25">
      <c r="A1111" s="35" t="s">
        <v>2722</v>
      </c>
      <c r="B1111" s="18" t="s">
        <v>37</v>
      </c>
      <c r="C1111" s="76"/>
      <c r="D1111" s="43" t="s">
        <v>5643</v>
      </c>
      <c r="E1111" s="78"/>
      <c r="F1111" s="36" t="s">
        <v>5644</v>
      </c>
      <c r="G1111" s="80"/>
      <c r="H1111" s="80"/>
      <c r="I1111" s="36" t="s">
        <v>5645</v>
      </c>
      <c r="J1111" s="34" t="s">
        <v>5639</v>
      </c>
      <c r="K1111" s="37">
        <v>2011</v>
      </c>
      <c r="L1111" s="38">
        <v>40683</v>
      </c>
      <c r="M1111" s="39">
        <v>40803</v>
      </c>
      <c r="N1111" s="42">
        <v>189861.99</v>
      </c>
      <c r="O1111" s="85">
        <v>40806</v>
      </c>
      <c r="P1111" s="86">
        <v>42363</v>
      </c>
      <c r="Q1111" s="41">
        <v>-657.88</v>
      </c>
      <c r="R1111" s="41">
        <v>189204.11</v>
      </c>
      <c r="S1111" s="80"/>
      <c r="T1111" s="81"/>
      <c r="U1111" s="80"/>
      <c r="V1111" s="80"/>
      <c r="W1111" s="42"/>
      <c r="X1111" s="42">
        <v>63039.33</v>
      </c>
      <c r="Y1111" s="34" t="s">
        <v>4321</v>
      </c>
      <c r="Z1111" s="19" t="s">
        <v>7038</v>
      </c>
      <c r="AA1111" s="28" t="s">
        <v>8451</v>
      </c>
      <c r="AB1111" s="56">
        <v>43432</v>
      </c>
      <c r="AC1111" s="28" t="s">
        <v>7062</v>
      </c>
      <c r="AD1111" s="28" t="s">
        <v>7063</v>
      </c>
      <c r="AE1111" s="54"/>
      <c r="AF1111" s="54"/>
      <c r="AG1111" s="54" t="s">
        <v>7083</v>
      </c>
      <c r="AH1111" s="53" t="s">
        <v>1591</v>
      </c>
      <c r="AI1111" s="53" t="s">
        <v>2686</v>
      </c>
      <c r="AJ1111" s="53" t="s">
        <v>1591</v>
      </c>
    </row>
    <row r="1112" spans="1:36" s="3" customFormat="1" ht="60" x14ac:dyDescent="0.25">
      <c r="A1112" s="17" t="s">
        <v>2722</v>
      </c>
      <c r="B1112" s="18" t="s">
        <v>37</v>
      </c>
      <c r="C1112" s="19" t="s">
        <v>3053</v>
      </c>
      <c r="D1112" s="45" t="s">
        <v>3054</v>
      </c>
      <c r="E1112" s="50" t="s">
        <v>3230</v>
      </c>
      <c r="F1112" s="58" t="s">
        <v>3227</v>
      </c>
      <c r="G1112" s="51">
        <v>136109.1</v>
      </c>
      <c r="H1112" s="51">
        <v>5671.21</v>
      </c>
      <c r="I1112" s="50" t="s">
        <v>2744</v>
      </c>
      <c r="J1112" s="58" t="s">
        <v>2745</v>
      </c>
      <c r="K1112" s="52" t="s">
        <v>2725</v>
      </c>
      <c r="L1112" s="59">
        <v>41072</v>
      </c>
      <c r="M1112" s="60">
        <f>L1112+120</f>
        <v>41192</v>
      </c>
      <c r="N1112" s="51">
        <v>141780.31</v>
      </c>
      <c r="O1112" s="59"/>
      <c r="P1112" s="59">
        <f>M1112+64*30</f>
        <v>43112</v>
      </c>
      <c r="Q1112" s="51"/>
      <c r="R1112" s="51">
        <f>N1112+Q1112</f>
        <v>141780.31</v>
      </c>
      <c r="S1112" s="51"/>
      <c r="T1112" s="52">
        <v>44905100</v>
      </c>
      <c r="U1112" s="51">
        <v>82170.89</v>
      </c>
      <c r="V1112" s="51"/>
      <c r="W1112" s="51"/>
      <c r="X1112" s="51">
        <v>82170.89</v>
      </c>
      <c r="Y1112" s="19" t="s">
        <v>3360</v>
      </c>
      <c r="Z1112" s="19"/>
      <c r="AA1112" s="28" t="s">
        <v>8451</v>
      </c>
      <c r="AB1112" s="56">
        <v>43432</v>
      </c>
      <c r="AC1112" s="28" t="s">
        <v>7062</v>
      </c>
      <c r="AD1112" s="28" t="s">
        <v>7063</v>
      </c>
      <c r="AE1112" s="54"/>
      <c r="AF1112" s="54"/>
      <c r="AG1112" s="54" t="s">
        <v>7084</v>
      </c>
      <c r="AH1112" s="53" t="s">
        <v>1591</v>
      </c>
      <c r="AI1112" s="53" t="s">
        <v>2686</v>
      </c>
      <c r="AJ1112" s="53" t="s">
        <v>1591</v>
      </c>
    </row>
    <row r="1113" spans="1:36" s="3" customFormat="1" ht="36" x14ac:dyDescent="0.25">
      <c r="A1113" s="17" t="s">
        <v>1506</v>
      </c>
      <c r="B1113" s="18" t="s">
        <v>37</v>
      </c>
      <c r="C1113" s="76" t="s">
        <v>1507</v>
      </c>
      <c r="D1113" s="45" t="s">
        <v>5646</v>
      </c>
      <c r="E1113" s="78" t="s">
        <v>5647</v>
      </c>
      <c r="F1113" s="79" t="s">
        <v>252</v>
      </c>
      <c r="G1113" s="80">
        <v>3458498.31</v>
      </c>
      <c r="H1113" s="80">
        <v>0</v>
      </c>
      <c r="I1113" s="78" t="s">
        <v>5648</v>
      </c>
      <c r="J1113" s="79" t="s">
        <v>5649</v>
      </c>
      <c r="K1113" s="81" t="s">
        <v>5650</v>
      </c>
      <c r="L1113" s="82">
        <v>41838</v>
      </c>
      <c r="M1113" s="83">
        <v>42203</v>
      </c>
      <c r="N1113" s="80">
        <v>3405421.69</v>
      </c>
      <c r="O1113" s="82">
        <v>42203</v>
      </c>
      <c r="P1113" s="84" t="s">
        <v>1508</v>
      </c>
      <c r="Q1113" s="80">
        <v>152351.2200000002</v>
      </c>
      <c r="R1113" s="80">
        <v>3557772.91</v>
      </c>
      <c r="S1113" s="80">
        <v>152351.22</v>
      </c>
      <c r="T1113" s="81" t="s">
        <v>5651</v>
      </c>
      <c r="U1113" s="80">
        <v>203851.08</v>
      </c>
      <c r="V1113" s="80"/>
      <c r="W1113" s="80"/>
      <c r="X1113" s="80">
        <v>474258.12</v>
      </c>
      <c r="Y1113" s="76" t="s">
        <v>136</v>
      </c>
      <c r="Z1113" s="19" t="s">
        <v>7038</v>
      </c>
      <c r="AA1113" s="28"/>
      <c r="AB1113" s="56"/>
      <c r="AC1113" s="28"/>
      <c r="AD1113" s="28"/>
      <c r="AE1113" s="54"/>
      <c r="AF1113" s="54"/>
      <c r="AG1113" s="54"/>
      <c r="AH1113" s="53"/>
      <c r="AI1113" s="53" t="s">
        <v>1591</v>
      </c>
      <c r="AJ1113" s="53" t="s">
        <v>1591</v>
      </c>
    </row>
    <row r="1114" spans="1:36" s="3" customFormat="1" ht="36" x14ac:dyDescent="0.25">
      <c r="A1114" s="17" t="s">
        <v>1506</v>
      </c>
      <c r="B1114" s="18" t="s">
        <v>37</v>
      </c>
      <c r="C1114" s="76" t="s">
        <v>1008</v>
      </c>
      <c r="D1114" s="45" t="s">
        <v>5653</v>
      </c>
      <c r="E1114" s="78" t="s">
        <v>1511</v>
      </c>
      <c r="F1114" s="79" t="s">
        <v>60</v>
      </c>
      <c r="G1114" s="80">
        <v>509773.77</v>
      </c>
      <c r="H1114" s="80">
        <v>0</v>
      </c>
      <c r="I1114" s="78" t="s">
        <v>642</v>
      </c>
      <c r="J1114" s="79" t="s">
        <v>5652</v>
      </c>
      <c r="K1114" s="81" t="s">
        <v>4986</v>
      </c>
      <c r="L1114" s="82">
        <v>41981</v>
      </c>
      <c r="M1114" s="83">
        <v>42346</v>
      </c>
      <c r="N1114" s="80">
        <v>509773.77</v>
      </c>
      <c r="O1114" s="82">
        <v>42584</v>
      </c>
      <c r="P1114" s="84" t="s">
        <v>4987</v>
      </c>
      <c r="Q1114" s="80">
        <v>73488.859999999986</v>
      </c>
      <c r="R1114" s="80">
        <v>583262.63</v>
      </c>
      <c r="S1114" s="80">
        <v>73488.86</v>
      </c>
      <c r="T1114" s="81" t="s">
        <v>5651</v>
      </c>
      <c r="U1114" s="80">
        <v>32817.089999999997</v>
      </c>
      <c r="V1114" s="80"/>
      <c r="W1114" s="80"/>
      <c r="X1114" s="80">
        <v>176356.99</v>
      </c>
      <c r="Y1114" s="76" t="s">
        <v>136</v>
      </c>
      <c r="Z1114" s="19" t="s">
        <v>7038</v>
      </c>
      <c r="AA1114" s="28"/>
      <c r="AB1114" s="56"/>
      <c r="AC1114" s="28"/>
      <c r="AD1114" s="28"/>
      <c r="AE1114" s="54"/>
      <c r="AF1114" s="54"/>
      <c r="AG1114" s="54"/>
      <c r="AH1114" s="53"/>
      <c r="AI1114" s="53" t="s">
        <v>1591</v>
      </c>
      <c r="AJ1114" s="53" t="s">
        <v>1591</v>
      </c>
    </row>
    <row r="1115" spans="1:36" s="3" customFormat="1" ht="36" x14ac:dyDescent="0.25">
      <c r="A1115" s="17" t="s">
        <v>1512</v>
      </c>
      <c r="B1115" s="18" t="s">
        <v>37</v>
      </c>
      <c r="C1115" s="19" t="s">
        <v>1391</v>
      </c>
      <c r="D1115" s="45" t="s">
        <v>1513</v>
      </c>
      <c r="E1115" s="50" t="s">
        <v>850</v>
      </c>
      <c r="F1115" s="58"/>
      <c r="G1115" s="51"/>
      <c r="H1115" s="51"/>
      <c r="I1115" s="50" t="s">
        <v>1018</v>
      </c>
      <c r="J1115" s="58" t="s">
        <v>1392</v>
      </c>
      <c r="K1115" s="52"/>
      <c r="L1115" s="59"/>
      <c r="M1115" s="60"/>
      <c r="N1115" s="51"/>
      <c r="O1115" s="59"/>
      <c r="P1115" s="59"/>
      <c r="Q1115" s="51"/>
      <c r="R1115" s="51">
        <f>N1115+Q1115</f>
        <v>0</v>
      </c>
      <c r="S1115" s="51"/>
      <c r="T1115" s="52" t="s">
        <v>52</v>
      </c>
      <c r="U1115" s="51">
        <v>202707.92</v>
      </c>
      <c r="V1115" s="51">
        <v>202707.92</v>
      </c>
      <c r="W1115" s="51"/>
      <c r="X1115" s="51">
        <v>202707.92</v>
      </c>
      <c r="Y1115" s="19" t="s">
        <v>175</v>
      </c>
      <c r="Z1115" s="19" t="s">
        <v>4307</v>
      </c>
      <c r="AA1115" s="28"/>
      <c r="AB1115" s="56"/>
      <c r="AC1115" s="28"/>
      <c r="AD1115" s="28"/>
      <c r="AE1115" s="54"/>
      <c r="AF1115" s="54"/>
      <c r="AG1115" s="54"/>
      <c r="AH1115" s="53"/>
      <c r="AI1115" s="53" t="s">
        <v>1591</v>
      </c>
      <c r="AJ1115" s="53" t="s">
        <v>1591</v>
      </c>
    </row>
    <row r="1116" spans="1:36" s="3" customFormat="1" ht="36" x14ac:dyDescent="0.25">
      <c r="A1116" s="17" t="s">
        <v>1512</v>
      </c>
      <c r="B1116" s="18" t="s">
        <v>37</v>
      </c>
      <c r="C1116" s="19" t="s">
        <v>1391</v>
      </c>
      <c r="D1116" s="45" t="s">
        <v>1514</v>
      </c>
      <c r="E1116" s="50" t="s">
        <v>667</v>
      </c>
      <c r="F1116" s="58"/>
      <c r="G1116" s="51"/>
      <c r="H1116" s="51"/>
      <c r="I1116" s="50" t="s">
        <v>1515</v>
      </c>
      <c r="J1116" s="58" t="s">
        <v>1516</v>
      </c>
      <c r="K1116" s="52"/>
      <c r="L1116" s="59"/>
      <c r="M1116" s="60"/>
      <c r="N1116" s="51"/>
      <c r="O1116" s="59"/>
      <c r="P1116" s="59"/>
      <c r="Q1116" s="51"/>
      <c r="R1116" s="51">
        <f>N1116+Q1116</f>
        <v>0</v>
      </c>
      <c r="S1116" s="51"/>
      <c r="T1116" s="52" t="s">
        <v>52</v>
      </c>
      <c r="U1116" s="51">
        <v>84000</v>
      </c>
      <c r="V1116" s="51">
        <v>84000</v>
      </c>
      <c r="W1116" s="51"/>
      <c r="X1116" s="51">
        <v>84000</v>
      </c>
      <c r="Y1116" s="19" t="s">
        <v>175</v>
      </c>
      <c r="Z1116" s="19" t="s">
        <v>4307</v>
      </c>
      <c r="AA1116" s="28"/>
      <c r="AB1116" s="56"/>
      <c r="AC1116" s="28"/>
      <c r="AD1116" s="28"/>
      <c r="AE1116" s="54"/>
      <c r="AF1116" s="54"/>
      <c r="AG1116" s="54"/>
      <c r="AH1116" s="53"/>
      <c r="AI1116" s="53" t="s">
        <v>1591</v>
      </c>
      <c r="AJ1116" s="53" t="s">
        <v>1591</v>
      </c>
    </row>
    <row r="1117" spans="1:36" s="3" customFormat="1" ht="24" x14ac:dyDescent="0.25">
      <c r="A1117" s="17" t="s">
        <v>1512</v>
      </c>
      <c r="B1117" s="18" t="s">
        <v>37</v>
      </c>
      <c r="C1117" s="19" t="s">
        <v>1391</v>
      </c>
      <c r="D1117" s="45" t="s">
        <v>3081</v>
      </c>
      <c r="E1117" s="50" t="s">
        <v>3255</v>
      </c>
      <c r="F1117" s="58"/>
      <c r="G1117" s="51"/>
      <c r="H1117" s="51"/>
      <c r="I1117" s="50" t="s">
        <v>1018</v>
      </c>
      <c r="J1117" s="58" t="s">
        <v>3256</v>
      </c>
      <c r="K1117" s="52"/>
      <c r="L1117" s="59"/>
      <c r="M1117" s="60"/>
      <c r="N1117" s="51"/>
      <c r="O1117" s="59"/>
      <c r="P1117" s="59"/>
      <c r="Q1117" s="51"/>
      <c r="R1117" s="51">
        <f>N1117+Q1117</f>
        <v>0</v>
      </c>
      <c r="S1117" s="51"/>
      <c r="T1117" s="52" t="s">
        <v>52</v>
      </c>
      <c r="U1117" s="51">
        <v>160522</v>
      </c>
      <c r="V1117" s="51">
        <v>160522</v>
      </c>
      <c r="W1117" s="51"/>
      <c r="X1117" s="51">
        <v>160522</v>
      </c>
      <c r="Y1117" s="19" t="s">
        <v>3363</v>
      </c>
      <c r="Z1117" s="19" t="s">
        <v>4307</v>
      </c>
      <c r="AA1117" s="28"/>
      <c r="AB1117" s="56"/>
      <c r="AC1117" s="28"/>
      <c r="AD1117" s="28"/>
      <c r="AE1117" s="54"/>
      <c r="AF1117" s="54"/>
      <c r="AG1117" s="54"/>
      <c r="AH1117" s="53"/>
      <c r="AI1117" s="53" t="s">
        <v>1591</v>
      </c>
      <c r="AJ1117" s="53" t="s">
        <v>1591</v>
      </c>
    </row>
    <row r="1118" spans="1:36" s="3" customFormat="1" ht="24" x14ac:dyDescent="0.25">
      <c r="A1118" s="17" t="s">
        <v>1512</v>
      </c>
      <c r="B1118" s="18" t="s">
        <v>37</v>
      </c>
      <c r="C1118" s="19" t="s">
        <v>1391</v>
      </c>
      <c r="D1118" s="45" t="s">
        <v>3082</v>
      </c>
      <c r="E1118" s="50" t="s">
        <v>3255</v>
      </c>
      <c r="F1118" s="58"/>
      <c r="G1118" s="51"/>
      <c r="H1118" s="51"/>
      <c r="I1118" s="50" t="s">
        <v>1018</v>
      </c>
      <c r="J1118" s="58" t="s">
        <v>3256</v>
      </c>
      <c r="K1118" s="52"/>
      <c r="L1118" s="59"/>
      <c r="M1118" s="60"/>
      <c r="N1118" s="51"/>
      <c r="O1118" s="59"/>
      <c r="P1118" s="59"/>
      <c r="Q1118" s="51"/>
      <c r="R1118" s="51">
        <f>N1118+Q1118</f>
        <v>0</v>
      </c>
      <c r="S1118" s="51"/>
      <c r="T1118" s="52" t="s">
        <v>52</v>
      </c>
      <c r="U1118" s="51">
        <v>66304</v>
      </c>
      <c r="V1118" s="51">
        <v>66304</v>
      </c>
      <c r="W1118" s="51"/>
      <c r="X1118" s="51">
        <v>66304</v>
      </c>
      <c r="Y1118" s="19" t="s">
        <v>3363</v>
      </c>
      <c r="Z1118" s="19" t="s">
        <v>4307</v>
      </c>
      <c r="AA1118" s="28"/>
      <c r="AB1118" s="56"/>
      <c r="AC1118" s="28"/>
      <c r="AD1118" s="28"/>
      <c r="AE1118" s="54"/>
      <c r="AF1118" s="54"/>
      <c r="AG1118" s="54"/>
      <c r="AH1118" s="53"/>
      <c r="AI1118" s="53" t="s">
        <v>1591</v>
      </c>
      <c r="AJ1118" s="53" t="s">
        <v>1591</v>
      </c>
    </row>
    <row r="1119" spans="1:36" s="3" customFormat="1" ht="144" x14ac:dyDescent="0.25">
      <c r="A1119" s="17" t="s">
        <v>1520</v>
      </c>
      <c r="B1119" s="18" t="s">
        <v>37</v>
      </c>
      <c r="C1119" s="76" t="s">
        <v>5654</v>
      </c>
      <c r="D1119" s="77" t="s">
        <v>5655</v>
      </c>
      <c r="E1119" s="78" t="s">
        <v>5656</v>
      </c>
      <c r="F1119" s="79" t="s">
        <v>1249</v>
      </c>
      <c r="G1119" s="80"/>
      <c r="H1119" s="80"/>
      <c r="I1119" s="78" t="s">
        <v>333</v>
      </c>
      <c r="J1119" s="79" t="s">
        <v>5657</v>
      </c>
      <c r="K1119" s="81" t="s">
        <v>835</v>
      </c>
      <c r="L1119" s="82">
        <v>42326</v>
      </c>
      <c r="M1119" s="83">
        <v>42506</v>
      </c>
      <c r="N1119" s="80">
        <v>2631194.4300000002</v>
      </c>
      <c r="O1119" s="82"/>
      <c r="P1119" s="84"/>
      <c r="Q1119" s="80">
        <v>0</v>
      </c>
      <c r="R1119" s="80">
        <v>2631194.4300000002</v>
      </c>
      <c r="S1119" s="80"/>
      <c r="T1119" s="80" t="s">
        <v>45</v>
      </c>
      <c r="U1119" s="89">
        <v>162626.22</v>
      </c>
      <c r="V1119" s="80"/>
      <c r="W1119" s="80"/>
      <c r="X1119" s="80">
        <v>379817.4</v>
      </c>
      <c r="Y1119" s="90" t="s">
        <v>175</v>
      </c>
      <c r="Z1119" s="19" t="s">
        <v>7038</v>
      </c>
      <c r="AA1119" s="28" t="s">
        <v>8452</v>
      </c>
      <c r="AB1119" s="56">
        <v>43412</v>
      </c>
      <c r="AC1119" s="28" t="s">
        <v>7675</v>
      </c>
      <c r="AD1119" s="28" t="s">
        <v>7999</v>
      </c>
      <c r="AE1119" s="54" t="s">
        <v>8000</v>
      </c>
      <c r="AF1119" s="54"/>
      <c r="AG1119" s="54" t="s">
        <v>8001</v>
      </c>
      <c r="AH1119" s="53" t="s">
        <v>1591</v>
      </c>
      <c r="AI1119" s="53" t="s">
        <v>2686</v>
      </c>
      <c r="AJ1119" s="53" t="s">
        <v>1591</v>
      </c>
    </row>
    <row r="1120" spans="1:36" s="3" customFormat="1" ht="144" x14ac:dyDescent="0.25">
      <c r="A1120" s="17" t="s">
        <v>1520</v>
      </c>
      <c r="B1120" s="18" t="s">
        <v>37</v>
      </c>
      <c r="C1120" s="19" t="s">
        <v>967</v>
      </c>
      <c r="D1120" s="45" t="s">
        <v>3084</v>
      </c>
      <c r="E1120" s="50" t="s">
        <v>3260</v>
      </c>
      <c r="F1120" s="58" t="s">
        <v>3261</v>
      </c>
      <c r="G1120" s="51">
        <v>1850410.5</v>
      </c>
      <c r="H1120" s="51">
        <v>5847.87</v>
      </c>
      <c r="I1120" s="50" t="s">
        <v>333</v>
      </c>
      <c r="J1120" s="58" t="s">
        <v>3262</v>
      </c>
      <c r="K1120" s="52" t="s">
        <v>433</v>
      </c>
      <c r="L1120" s="59">
        <v>42326</v>
      </c>
      <c r="M1120" s="60">
        <f>L1120+180</f>
        <v>42506</v>
      </c>
      <c r="N1120" s="51">
        <v>1856258.37</v>
      </c>
      <c r="O1120" s="59" t="s">
        <v>3167</v>
      </c>
      <c r="P1120" s="59">
        <f>M1120+630</f>
        <v>43136</v>
      </c>
      <c r="Q1120" s="51">
        <v>-753.3</v>
      </c>
      <c r="R1120" s="51">
        <f>N1120+Q1120</f>
        <v>1855505.07</v>
      </c>
      <c r="S1120" s="51">
        <v>1855505.07</v>
      </c>
      <c r="T1120" s="52" t="s">
        <v>32</v>
      </c>
      <c r="U1120" s="51">
        <v>0</v>
      </c>
      <c r="V1120" s="51">
        <v>0</v>
      </c>
      <c r="W1120" s="51">
        <v>0</v>
      </c>
      <c r="X1120" s="51">
        <v>421144.14</v>
      </c>
      <c r="Y1120" s="19" t="s">
        <v>175</v>
      </c>
      <c r="Z1120" s="19"/>
      <c r="AA1120" s="28" t="s">
        <v>8452</v>
      </c>
      <c r="AB1120" s="56">
        <v>43412</v>
      </c>
      <c r="AC1120" s="28" t="s">
        <v>7675</v>
      </c>
      <c r="AD1120" s="28" t="s">
        <v>7999</v>
      </c>
      <c r="AE1120" s="54" t="s">
        <v>8000</v>
      </c>
      <c r="AF1120" s="54"/>
      <c r="AG1120" s="54" t="s">
        <v>8001</v>
      </c>
      <c r="AH1120" s="53" t="s">
        <v>1591</v>
      </c>
      <c r="AI1120" s="53" t="s">
        <v>2686</v>
      </c>
      <c r="AJ1120" s="53" t="s">
        <v>1591</v>
      </c>
    </row>
    <row r="1121" spans="1:36" s="3" customFormat="1" ht="108" x14ac:dyDescent="0.25">
      <c r="A1121" s="17" t="s">
        <v>1520</v>
      </c>
      <c r="B1121" s="18" t="s">
        <v>37</v>
      </c>
      <c r="C1121" s="19" t="s">
        <v>1509</v>
      </c>
      <c r="D1121" s="45" t="s">
        <v>3085</v>
      </c>
      <c r="E1121" s="50" t="s">
        <v>3263</v>
      </c>
      <c r="F1121" s="58" t="s">
        <v>661</v>
      </c>
      <c r="G1121" s="51">
        <v>1235906.1299999999</v>
      </c>
      <c r="H1121" s="51">
        <v>0</v>
      </c>
      <c r="I1121" s="50" t="s">
        <v>153</v>
      </c>
      <c r="J1121" s="58" t="s">
        <v>848</v>
      </c>
      <c r="K1121" s="52" t="s">
        <v>1032</v>
      </c>
      <c r="L1121" s="59" t="s">
        <v>3264</v>
      </c>
      <c r="M1121" s="60">
        <f>L1121+150</f>
        <v>42706</v>
      </c>
      <c r="N1121" s="51">
        <v>1119957.3700000001</v>
      </c>
      <c r="O1121" s="59" t="s">
        <v>3313</v>
      </c>
      <c r="P1121" s="59" t="s">
        <v>131</v>
      </c>
      <c r="Q1121" s="51">
        <v>115948.76</v>
      </c>
      <c r="R1121" s="51">
        <f>N1121+Q1121</f>
        <v>1235906.1300000001</v>
      </c>
      <c r="S1121" s="51">
        <v>1235906.1299999999</v>
      </c>
      <c r="T1121" s="52" t="s">
        <v>32</v>
      </c>
      <c r="U1121" s="51">
        <v>0</v>
      </c>
      <c r="V1121" s="51">
        <v>0</v>
      </c>
      <c r="W1121" s="51">
        <v>0</v>
      </c>
      <c r="X1121" s="51">
        <v>380017.97</v>
      </c>
      <c r="Y1121" s="19" t="s">
        <v>498</v>
      </c>
      <c r="Z1121" s="19"/>
      <c r="AA1121" s="28" t="s">
        <v>8452</v>
      </c>
      <c r="AB1121" s="56">
        <v>43412</v>
      </c>
      <c r="AC1121" s="28" t="s">
        <v>7675</v>
      </c>
      <c r="AD1121" s="28" t="s">
        <v>7999</v>
      </c>
      <c r="AE1121" s="54" t="s">
        <v>8002</v>
      </c>
      <c r="AF1121" s="54"/>
      <c r="AG1121" s="54" t="s">
        <v>8003</v>
      </c>
      <c r="AH1121" s="53" t="s">
        <v>1591</v>
      </c>
      <c r="AI1121" s="53" t="s">
        <v>2686</v>
      </c>
      <c r="AJ1121" s="53" t="s">
        <v>1591</v>
      </c>
    </row>
    <row r="1122" spans="1:36" s="3" customFormat="1" ht="192" x14ac:dyDescent="0.25">
      <c r="A1122" s="17" t="s">
        <v>1520</v>
      </c>
      <c r="B1122" s="18" t="s">
        <v>37</v>
      </c>
      <c r="C1122" s="19" t="s">
        <v>1013</v>
      </c>
      <c r="D1122" s="45" t="s">
        <v>3083</v>
      </c>
      <c r="E1122" s="50" t="s">
        <v>3258</v>
      </c>
      <c r="F1122" s="58" t="s">
        <v>43</v>
      </c>
      <c r="G1122" s="51">
        <v>211900.32</v>
      </c>
      <c r="H1122" s="51">
        <v>0</v>
      </c>
      <c r="I1122" s="50" t="s">
        <v>204</v>
      </c>
      <c r="J1122" s="58" t="s">
        <v>3259</v>
      </c>
      <c r="K1122" s="52" t="s">
        <v>1521</v>
      </c>
      <c r="L1122" s="59" t="s">
        <v>2928</v>
      </c>
      <c r="M1122" s="60">
        <f>L1122+150</f>
        <v>42075</v>
      </c>
      <c r="N1122" s="51">
        <v>507705.3</v>
      </c>
      <c r="O1122" s="59" t="s">
        <v>3312</v>
      </c>
      <c r="P1122" s="59">
        <f>M1122+300</f>
        <v>42375</v>
      </c>
      <c r="Q1122" s="51"/>
      <c r="R1122" s="51">
        <f>N1122+Q1122</f>
        <v>507705.3</v>
      </c>
      <c r="S1122" s="51" t="s">
        <v>131</v>
      </c>
      <c r="T1122" s="52" t="s">
        <v>32</v>
      </c>
      <c r="U1122" s="51">
        <v>0</v>
      </c>
      <c r="V1122" s="51">
        <v>0</v>
      </c>
      <c r="W1122" s="51">
        <v>0</v>
      </c>
      <c r="X1122" s="51">
        <v>211900.32</v>
      </c>
      <c r="Y1122" s="19" t="s">
        <v>498</v>
      </c>
      <c r="Z1122" s="19"/>
      <c r="AA1122" s="28" t="s">
        <v>8452</v>
      </c>
      <c r="AB1122" s="56">
        <v>43412</v>
      </c>
      <c r="AC1122" s="28" t="s">
        <v>7675</v>
      </c>
      <c r="AD1122" s="28" t="s">
        <v>7999</v>
      </c>
      <c r="AE1122" s="54" t="s">
        <v>8004</v>
      </c>
      <c r="AF1122" s="54"/>
      <c r="AG1122" s="54" t="s">
        <v>8005</v>
      </c>
      <c r="AH1122" s="53" t="s">
        <v>1591</v>
      </c>
      <c r="AI1122" s="53" t="s">
        <v>2686</v>
      </c>
      <c r="AJ1122" s="53" t="s">
        <v>1591</v>
      </c>
    </row>
    <row r="1123" spans="1:36" s="3" customFormat="1" ht="84" x14ac:dyDescent="0.25">
      <c r="A1123" s="17" t="s">
        <v>1520</v>
      </c>
      <c r="B1123" s="18" t="s">
        <v>37</v>
      </c>
      <c r="C1123" s="19" t="s">
        <v>3021</v>
      </c>
      <c r="D1123" s="45" t="s">
        <v>3088</v>
      </c>
      <c r="E1123" s="50" t="s">
        <v>131</v>
      </c>
      <c r="F1123" s="58" t="s">
        <v>1468</v>
      </c>
      <c r="G1123" s="51"/>
      <c r="H1123" s="51">
        <v>88308.76</v>
      </c>
      <c r="I1123" s="50" t="s">
        <v>826</v>
      </c>
      <c r="J1123" s="58" t="s">
        <v>3266</v>
      </c>
      <c r="K1123" s="52" t="s">
        <v>3209</v>
      </c>
      <c r="L1123" s="59" t="s">
        <v>3267</v>
      </c>
      <c r="M1123" s="60">
        <f>L1123+60</f>
        <v>43015</v>
      </c>
      <c r="N1123" s="51">
        <v>88308.76</v>
      </c>
      <c r="O1123" s="59">
        <v>43015</v>
      </c>
      <c r="P1123" s="59" t="s">
        <v>131</v>
      </c>
      <c r="Q1123" s="51"/>
      <c r="R1123" s="51">
        <f>N1123+Q1123</f>
        <v>88308.76</v>
      </c>
      <c r="S1123" s="51" t="s">
        <v>131</v>
      </c>
      <c r="T1123" s="52" t="s">
        <v>32</v>
      </c>
      <c r="U1123" s="51">
        <v>39508.129999999997</v>
      </c>
      <c r="V1123" s="51">
        <v>0</v>
      </c>
      <c r="W1123" s="51">
        <v>0</v>
      </c>
      <c r="X1123" s="51">
        <v>0</v>
      </c>
      <c r="Y1123" s="19" t="s">
        <v>498</v>
      </c>
      <c r="Z1123" s="19"/>
      <c r="AA1123" s="28" t="s">
        <v>8452</v>
      </c>
      <c r="AB1123" s="56">
        <v>43412</v>
      </c>
      <c r="AC1123" s="28" t="s">
        <v>7675</v>
      </c>
      <c r="AD1123" s="28" t="s">
        <v>7999</v>
      </c>
      <c r="AE1123" s="54" t="s">
        <v>8006</v>
      </c>
      <c r="AF1123" s="54"/>
      <c r="AG1123" s="54" t="s">
        <v>8007</v>
      </c>
      <c r="AH1123" s="53" t="s">
        <v>1591</v>
      </c>
      <c r="AI1123" s="53" t="s">
        <v>2686</v>
      </c>
      <c r="AJ1123" s="53" t="s">
        <v>1591</v>
      </c>
    </row>
    <row r="1124" spans="1:36" s="3" customFormat="1" ht="48" x14ac:dyDescent="0.25">
      <c r="A1124" s="17" t="s">
        <v>1520</v>
      </c>
      <c r="B1124" s="18" t="s">
        <v>37</v>
      </c>
      <c r="C1124" s="19" t="s">
        <v>3086</v>
      </c>
      <c r="D1124" s="45" t="s">
        <v>3087</v>
      </c>
      <c r="E1124" s="50" t="s">
        <v>131</v>
      </c>
      <c r="F1124" s="58" t="s">
        <v>1468</v>
      </c>
      <c r="G1124" s="51"/>
      <c r="H1124" s="51">
        <v>43776.53</v>
      </c>
      <c r="I1124" s="50" t="s">
        <v>3200</v>
      </c>
      <c r="J1124" s="58" t="s">
        <v>3265</v>
      </c>
      <c r="K1124" s="52" t="s">
        <v>2898</v>
      </c>
      <c r="L1124" s="59" t="s">
        <v>3252</v>
      </c>
      <c r="M1124" s="60">
        <f>L1124+30</f>
        <v>42917</v>
      </c>
      <c r="N1124" s="51">
        <v>43776.53</v>
      </c>
      <c r="O1124" s="59">
        <v>42917</v>
      </c>
      <c r="P1124" s="59" t="s">
        <v>131</v>
      </c>
      <c r="Q1124" s="51"/>
      <c r="R1124" s="51">
        <f>N1124+Q1124</f>
        <v>43776.53</v>
      </c>
      <c r="S1124" s="51" t="s">
        <v>131</v>
      </c>
      <c r="T1124" s="52" t="s">
        <v>32</v>
      </c>
      <c r="U1124" s="51">
        <v>16264.92</v>
      </c>
      <c r="V1124" s="51">
        <v>13786.34</v>
      </c>
      <c r="W1124" s="51">
        <v>13786.34</v>
      </c>
      <c r="X1124" s="51">
        <v>13786.34</v>
      </c>
      <c r="Y1124" s="19" t="s">
        <v>498</v>
      </c>
      <c r="Z1124" s="19"/>
      <c r="AA1124" s="28" t="s">
        <v>8452</v>
      </c>
      <c r="AB1124" s="56">
        <v>43412</v>
      </c>
      <c r="AC1124" s="28" t="s">
        <v>7675</v>
      </c>
      <c r="AD1124" s="28" t="s">
        <v>7999</v>
      </c>
      <c r="AE1124" s="54" t="s">
        <v>8008</v>
      </c>
      <c r="AF1124" s="54"/>
      <c r="AG1124" s="54" t="s">
        <v>8009</v>
      </c>
      <c r="AH1124" s="53" t="s">
        <v>1591</v>
      </c>
      <c r="AI1124" s="53" t="s">
        <v>2686</v>
      </c>
      <c r="AJ1124" s="53" t="s">
        <v>1591</v>
      </c>
    </row>
    <row r="1125" spans="1:36" s="3" customFormat="1" ht="36" x14ac:dyDescent="0.25">
      <c r="A1125" s="35" t="s">
        <v>2830</v>
      </c>
      <c r="B1125" s="18" t="s">
        <v>37</v>
      </c>
      <c r="C1125" s="76"/>
      <c r="D1125" s="43" t="s">
        <v>5658</v>
      </c>
      <c r="E1125" s="78"/>
      <c r="F1125" s="36"/>
      <c r="G1125" s="80"/>
      <c r="H1125" s="80"/>
      <c r="I1125" s="36" t="s">
        <v>5269</v>
      </c>
      <c r="J1125" s="34" t="s">
        <v>5659</v>
      </c>
      <c r="K1125" s="37" t="s">
        <v>2419</v>
      </c>
      <c r="L1125" s="38">
        <v>41939</v>
      </c>
      <c r="M1125" s="39">
        <v>41969</v>
      </c>
      <c r="N1125" s="42">
        <v>40093.4</v>
      </c>
      <c r="O1125" s="85">
        <v>41946</v>
      </c>
      <c r="P1125" s="86"/>
      <c r="Q1125" s="41"/>
      <c r="R1125" s="41">
        <v>40093.4</v>
      </c>
      <c r="S1125" s="80"/>
      <c r="T1125" s="81"/>
      <c r="U1125" s="80"/>
      <c r="V1125" s="80"/>
      <c r="W1125" s="42"/>
      <c r="X1125" s="42">
        <v>19159.54</v>
      </c>
      <c r="Y1125" s="34" t="s">
        <v>4321</v>
      </c>
      <c r="Z1125" s="19" t="s">
        <v>7038</v>
      </c>
      <c r="AA1125" s="28"/>
      <c r="AB1125" s="56"/>
      <c r="AC1125" s="28"/>
      <c r="AD1125" s="28"/>
      <c r="AE1125" s="54"/>
      <c r="AF1125" s="54"/>
      <c r="AG1125" s="54"/>
      <c r="AH1125" s="53"/>
      <c r="AI1125" s="53" t="s">
        <v>1591</v>
      </c>
      <c r="AJ1125" s="53" t="s">
        <v>1591</v>
      </c>
    </row>
    <row r="1126" spans="1:36" s="3" customFormat="1" ht="36" x14ac:dyDescent="0.25">
      <c r="A1126" s="35" t="s">
        <v>2830</v>
      </c>
      <c r="B1126" s="18" t="s">
        <v>37</v>
      </c>
      <c r="C1126" s="76"/>
      <c r="D1126" s="43" t="s">
        <v>5660</v>
      </c>
      <c r="E1126" s="78"/>
      <c r="F1126" s="36"/>
      <c r="G1126" s="80"/>
      <c r="H1126" s="80"/>
      <c r="I1126" s="36" t="s">
        <v>5269</v>
      </c>
      <c r="J1126" s="34" t="s">
        <v>5659</v>
      </c>
      <c r="K1126" s="37" t="s">
        <v>5661</v>
      </c>
      <c r="L1126" s="38">
        <v>41699</v>
      </c>
      <c r="M1126" s="39">
        <v>41729</v>
      </c>
      <c r="N1126" s="42">
        <v>19599.13</v>
      </c>
      <c r="O1126" s="85">
        <v>41718</v>
      </c>
      <c r="P1126" s="86"/>
      <c r="Q1126" s="41"/>
      <c r="R1126" s="41">
        <v>19599.13</v>
      </c>
      <c r="S1126" s="80"/>
      <c r="T1126" s="81"/>
      <c r="U1126" s="80"/>
      <c r="V1126" s="80"/>
      <c r="W1126" s="42"/>
      <c r="X1126" s="42">
        <v>7955.08</v>
      </c>
      <c r="Y1126" s="34" t="s">
        <v>4321</v>
      </c>
      <c r="Z1126" s="19" t="s">
        <v>7038</v>
      </c>
      <c r="AA1126" s="28"/>
      <c r="AB1126" s="56"/>
      <c r="AC1126" s="28"/>
      <c r="AD1126" s="28"/>
      <c r="AE1126" s="54"/>
      <c r="AF1126" s="54"/>
      <c r="AG1126" s="54"/>
      <c r="AH1126" s="53"/>
      <c r="AI1126" s="53" t="s">
        <v>1591</v>
      </c>
      <c r="AJ1126" s="53" t="s">
        <v>1591</v>
      </c>
    </row>
    <row r="1127" spans="1:36" s="3" customFormat="1" ht="204" x14ac:dyDescent="0.25">
      <c r="A1127" s="17" t="s">
        <v>1526</v>
      </c>
      <c r="B1127" s="18" t="s">
        <v>37</v>
      </c>
      <c r="C1127" s="76" t="s">
        <v>5662</v>
      </c>
      <c r="D1127" s="45" t="s">
        <v>5663</v>
      </c>
      <c r="E1127" s="78" t="s">
        <v>46</v>
      </c>
      <c r="F1127" s="79" t="s">
        <v>1527</v>
      </c>
      <c r="G1127" s="80">
        <v>510000</v>
      </c>
      <c r="H1127" s="80">
        <v>55909.54</v>
      </c>
      <c r="I1127" s="78" t="s">
        <v>129</v>
      </c>
      <c r="J1127" s="79" t="s">
        <v>5664</v>
      </c>
      <c r="K1127" s="81"/>
      <c r="L1127" s="82">
        <v>42044</v>
      </c>
      <c r="M1127" s="83">
        <v>42194</v>
      </c>
      <c r="N1127" s="80">
        <v>564763.84</v>
      </c>
      <c r="O1127" s="82">
        <v>42340</v>
      </c>
      <c r="P1127" s="84" t="s">
        <v>4609</v>
      </c>
      <c r="Q1127" s="80">
        <v>0</v>
      </c>
      <c r="R1127" s="80">
        <v>564763.84</v>
      </c>
      <c r="S1127" s="80"/>
      <c r="T1127" s="81" t="s">
        <v>45</v>
      </c>
      <c r="U1127" s="80">
        <v>113832.4</v>
      </c>
      <c r="V1127" s="80"/>
      <c r="W1127" s="80"/>
      <c r="X1127" s="80">
        <v>113832.4</v>
      </c>
      <c r="Y1127" s="76" t="s">
        <v>1528</v>
      </c>
      <c r="Z1127" s="19" t="s">
        <v>7038</v>
      </c>
      <c r="AA1127" s="28" t="s">
        <v>8010</v>
      </c>
      <c r="AB1127" s="56">
        <v>43418</v>
      </c>
      <c r="AC1127" s="28" t="s">
        <v>8011</v>
      </c>
      <c r="AD1127" s="28" t="s">
        <v>8012</v>
      </c>
      <c r="AE1127" s="54" t="s">
        <v>8013</v>
      </c>
      <c r="AF1127" s="54"/>
      <c r="AG1127" s="54" t="s">
        <v>8014</v>
      </c>
      <c r="AH1127" s="53" t="s">
        <v>1591</v>
      </c>
      <c r="AI1127" s="53" t="s">
        <v>2686</v>
      </c>
      <c r="AJ1127" s="53" t="s">
        <v>1591</v>
      </c>
    </row>
    <row r="1128" spans="1:36" s="3" customFormat="1" ht="144" x14ac:dyDescent="0.25">
      <c r="A1128" s="17" t="s">
        <v>1526</v>
      </c>
      <c r="B1128" s="18" t="s">
        <v>37</v>
      </c>
      <c r="C1128" s="19" t="s">
        <v>1529</v>
      </c>
      <c r="D1128" s="45" t="s">
        <v>1530</v>
      </c>
      <c r="E1128" s="50" t="s">
        <v>46</v>
      </c>
      <c r="F1128" s="58" t="s">
        <v>60</v>
      </c>
      <c r="G1128" s="51">
        <v>510000</v>
      </c>
      <c r="H1128" s="51">
        <v>54215.09</v>
      </c>
      <c r="I1128" s="50" t="s">
        <v>1531</v>
      </c>
      <c r="J1128" s="58" t="s">
        <v>1532</v>
      </c>
      <c r="K1128" s="52"/>
      <c r="L1128" s="59">
        <v>42131</v>
      </c>
      <c r="M1128" s="60">
        <f>L1128+150</f>
        <v>42281</v>
      </c>
      <c r="N1128" s="51">
        <v>563572.80000000005</v>
      </c>
      <c r="O1128" s="59">
        <v>42515</v>
      </c>
      <c r="P1128" s="59">
        <f>M1128+360</f>
        <v>42641</v>
      </c>
      <c r="Q1128" s="51"/>
      <c r="R1128" s="51">
        <f>N1128+Q1128</f>
        <v>563572.80000000005</v>
      </c>
      <c r="S1128" s="51"/>
      <c r="T1128" s="52" t="s">
        <v>45</v>
      </c>
      <c r="U1128" s="51">
        <v>155641.39000000001</v>
      </c>
      <c r="V1128" s="51">
        <v>27845.19</v>
      </c>
      <c r="W1128" s="51">
        <v>27845.19</v>
      </c>
      <c r="X1128" s="51">
        <v>155641.39000000001</v>
      </c>
      <c r="Y1128" s="19" t="s">
        <v>1528</v>
      </c>
      <c r="Z1128" s="19"/>
      <c r="AA1128" s="28" t="s">
        <v>8010</v>
      </c>
      <c r="AB1128" s="56">
        <v>43418</v>
      </c>
      <c r="AC1128" s="28" t="s">
        <v>8011</v>
      </c>
      <c r="AD1128" s="28" t="s">
        <v>8012</v>
      </c>
      <c r="AE1128" s="54" t="s">
        <v>8013</v>
      </c>
      <c r="AF1128" s="54"/>
      <c r="AG1128" s="54" t="s">
        <v>8015</v>
      </c>
      <c r="AH1128" s="53" t="s">
        <v>1591</v>
      </c>
      <c r="AI1128" s="53" t="s">
        <v>2686</v>
      </c>
      <c r="AJ1128" s="53" t="s">
        <v>1591</v>
      </c>
    </row>
    <row r="1129" spans="1:36" s="3" customFormat="1" ht="120" x14ac:dyDescent="0.25">
      <c r="A1129" s="17" t="s">
        <v>1526</v>
      </c>
      <c r="B1129" s="18" t="s">
        <v>37</v>
      </c>
      <c r="C1129" s="19" t="s">
        <v>1533</v>
      </c>
      <c r="D1129" s="45" t="s">
        <v>1534</v>
      </c>
      <c r="E1129" s="50" t="s">
        <v>46</v>
      </c>
      <c r="F1129" s="58" t="s">
        <v>1088</v>
      </c>
      <c r="G1129" s="51">
        <v>390000</v>
      </c>
      <c r="H1129" s="51">
        <v>131829.4</v>
      </c>
      <c r="I1129" s="50" t="s">
        <v>1535</v>
      </c>
      <c r="J1129" s="58" t="s">
        <v>1536</v>
      </c>
      <c r="K1129" s="52"/>
      <c r="L1129" s="59">
        <v>42513</v>
      </c>
      <c r="M1129" s="60">
        <f>L1129+90</f>
        <v>42603</v>
      </c>
      <c r="N1129" s="51">
        <v>521829.4</v>
      </c>
      <c r="O1129" s="59">
        <v>42866</v>
      </c>
      <c r="P1129" s="59">
        <f>M1129+360</f>
        <v>42963</v>
      </c>
      <c r="Q1129" s="51"/>
      <c r="R1129" s="51">
        <f>N1129+Q1129</f>
        <v>521829.4</v>
      </c>
      <c r="S1129" s="51"/>
      <c r="T1129" s="52" t="s">
        <v>45</v>
      </c>
      <c r="U1129" s="51">
        <v>241807.26</v>
      </c>
      <c r="V1129" s="51">
        <v>51042.15</v>
      </c>
      <c r="W1129" s="51">
        <v>51042.15</v>
      </c>
      <c r="X1129" s="51">
        <v>241807.26</v>
      </c>
      <c r="Y1129" s="19" t="s">
        <v>1528</v>
      </c>
      <c r="Z1129" s="19"/>
      <c r="AA1129" s="28" t="s">
        <v>8010</v>
      </c>
      <c r="AB1129" s="56">
        <v>43418</v>
      </c>
      <c r="AC1129" s="28" t="s">
        <v>8011</v>
      </c>
      <c r="AD1129" s="28" t="s">
        <v>8012</v>
      </c>
      <c r="AE1129" s="54" t="s">
        <v>8016</v>
      </c>
      <c r="AF1129" s="54"/>
      <c r="AG1129" s="54" t="s">
        <v>8017</v>
      </c>
      <c r="AH1129" s="53" t="s">
        <v>1591</v>
      </c>
      <c r="AI1129" s="53" t="s">
        <v>2686</v>
      </c>
      <c r="AJ1129" s="53" t="s">
        <v>1591</v>
      </c>
    </row>
    <row r="1130" spans="1:36" s="3" customFormat="1" ht="132" x14ac:dyDescent="0.25">
      <c r="A1130" s="17" t="s">
        <v>1526</v>
      </c>
      <c r="B1130" s="18" t="s">
        <v>37</v>
      </c>
      <c r="C1130" s="19" t="s">
        <v>1537</v>
      </c>
      <c r="D1130" s="45" t="s">
        <v>1538</v>
      </c>
      <c r="E1130" s="50" t="s">
        <v>46</v>
      </c>
      <c r="F1130" s="58" t="s">
        <v>1527</v>
      </c>
      <c r="G1130" s="51">
        <v>510000</v>
      </c>
      <c r="H1130" s="51">
        <v>55909.440000000002</v>
      </c>
      <c r="I1130" s="50" t="s">
        <v>1539</v>
      </c>
      <c r="J1130" s="58" t="s">
        <v>1540</v>
      </c>
      <c r="K1130" s="52"/>
      <c r="L1130" s="59">
        <v>42443</v>
      </c>
      <c r="M1130" s="60">
        <f>L1130+150</f>
        <v>42593</v>
      </c>
      <c r="N1130" s="51">
        <v>397350.54</v>
      </c>
      <c r="O1130" s="59">
        <v>42947</v>
      </c>
      <c r="P1130" s="59">
        <f>M1130+300</f>
        <v>42893</v>
      </c>
      <c r="Q1130" s="51"/>
      <c r="R1130" s="51">
        <f>N1130+Q1130</f>
        <v>397350.54</v>
      </c>
      <c r="S1130" s="51"/>
      <c r="T1130" s="52" t="s">
        <v>45</v>
      </c>
      <c r="U1130" s="51">
        <v>206609.87</v>
      </c>
      <c r="V1130" s="51">
        <v>0</v>
      </c>
      <c r="W1130" s="51">
        <v>0</v>
      </c>
      <c r="X1130" s="51">
        <v>154366.98000000001</v>
      </c>
      <c r="Y1130" s="19" t="s">
        <v>1528</v>
      </c>
      <c r="Z1130" s="19"/>
      <c r="AA1130" s="28" t="s">
        <v>8010</v>
      </c>
      <c r="AB1130" s="56">
        <v>43418</v>
      </c>
      <c r="AC1130" s="28" t="s">
        <v>8011</v>
      </c>
      <c r="AD1130" s="28" t="s">
        <v>8012</v>
      </c>
      <c r="AE1130" s="54" t="s">
        <v>8018</v>
      </c>
      <c r="AF1130" s="54"/>
      <c r="AG1130" s="54" t="s">
        <v>8019</v>
      </c>
      <c r="AH1130" s="53" t="s">
        <v>1591</v>
      </c>
      <c r="AI1130" s="53" t="s">
        <v>2686</v>
      </c>
      <c r="AJ1130" s="53" t="s">
        <v>1591</v>
      </c>
    </row>
    <row r="1131" spans="1:36" s="3" customFormat="1" ht="36" x14ac:dyDescent="0.25">
      <c r="A1131" s="35" t="s">
        <v>2769</v>
      </c>
      <c r="B1131" s="18" t="s">
        <v>37</v>
      </c>
      <c r="C1131" s="76"/>
      <c r="D1131" s="43" t="s">
        <v>5665</v>
      </c>
      <c r="E1131" s="78"/>
      <c r="F1131" s="36" t="s">
        <v>70</v>
      </c>
      <c r="G1131" s="80"/>
      <c r="H1131" s="80"/>
      <c r="I1131" s="36" t="s">
        <v>2770</v>
      </c>
      <c r="J1131" s="34" t="s">
        <v>5666</v>
      </c>
      <c r="K1131" s="37" t="s">
        <v>4800</v>
      </c>
      <c r="L1131" s="38">
        <v>40905</v>
      </c>
      <c r="M1131" s="39">
        <v>41088</v>
      </c>
      <c r="N1131" s="42">
        <v>1210380.1599999999</v>
      </c>
      <c r="O1131" s="85"/>
      <c r="P1131" s="86">
        <v>41973</v>
      </c>
      <c r="Q1131" s="41"/>
      <c r="R1131" s="41">
        <v>1210380.1599999999</v>
      </c>
      <c r="S1131" s="80"/>
      <c r="T1131" s="81"/>
      <c r="U1131" s="80"/>
      <c r="V1131" s="80"/>
      <c r="W1131" s="42"/>
      <c r="X1131" s="42">
        <v>460022.22</v>
      </c>
      <c r="Y1131" s="34" t="s">
        <v>4321</v>
      </c>
      <c r="Z1131" s="19" t="s">
        <v>7038</v>
      </c>
      <c r="AA1131" s="28" t="s">
        <v>8020</v>
      </c>
      <c r="AB1131" s="56">
        <v>43426</v>
      </c>
      <c r="AC1131" s="28"/>
      <c r="AD1131" s="28" t="s">
        <v>8021</v>
      </c>
      <c r="AE1131" s="54" t="s">
        <v>8022</v>
      </c>
      <c r="AF1131" s="54"/>
      <c r="AG1131" s="54" t="s">
        <v>8023</v>
      </c>
      <c r="AH1131" s="53" t="s">
        <v>1591</v>
      </c>
      <c r="AI1131" s="53" t="s">
        <v>2686</v>
      </c>
      <c r="AJ1131" s="53" t="s">
        <v>1591</v>
      </c>
    </row>
    <row r="1132" spans="1:36" s="3" customFormat="1" ht="36" x14ac:dyDescent="0.25">
      <c r="A1132" s="35" t="s">
        <v>2769</v>
      </c>
      <c r="B1132" s="18" t="s">
        <v>37</v>
      </c>
      <c r="C1132" s="76"/>
      <c r="D1132" s="43" t="s">
        <v>5667</v>
      </c>
      <c r="E1132" s="78"/>
      <c r="F1132" s="36" t="s">
        <v>70</v>
      </c>
      <c r="G1132" s="80"/>
      <c r="H1132" s="80"/>
      <c r="I1132" s="36" t="s">
        <v>2770</v>
      </c>
      <c r="J1132" s="34" t="s">
        <v>5666</v>
      </c>
      <c r="K1132" s="37" t="s">
        <v>4790</v>
      </c>
      <c r="L1132" s="38"/>
      <c r="M1132" s="39"/>
      <c r="N1132" s="42">
        <v>100000</v>
      </c>
      <c r="O1132" s="85"/>
      <c r="P1132" s="86">
        <v>0</v>
      </c>
      <c r="Q1132" s="41"/>
      <c r="R1132" s="41">
        <v>100000</v>
      </c>
      <c r="S1132" s="80"/>
      <c r="T1132" s="81"/>
      <c r="U1132" s="80"/>
      <c r="V1132" s="80"/>
      <c r="W1132" s="42"/>
      <c r="X1132" s="42">
        <v>42915.31</v>
      </c>
      <c r="Y1132" s="34" t="s">
        <v>4321</v>
      </c>
      <c r="Z1132" s="19" t="s">
        <v>7038</v>
      </c>
      <c r="AA1132" s="28" t="s">
        <v>8020</v>
      </c>
      <c r="AB1132" s="56">
        <v>43426</v>
      </c>
      <c r="AC1132" s="28"/>
      <c r="AD1132" s="28" t="s">
        <v>8021</v>
      </c>
      <c r="AE1132" s="54" t="s">
        <v>8024</v>
      </c>
      <c r="AF1132" s="54"/>
      <c r="AG1132" s="54" t="s">
        <v>8025</v>
      </c>
      <c r="AH1132" s="53" t="s">
        <v>1591</v>
      </c>
      <c r="AI1132" s="53" t="s">
        <v>2686</v>
      </c>
      <c r="AJ1132" s="53" t="s">
        <v>1591</v>
      </c>
    </row>
    <row r="1133" spans="1:36" s="3" customFormat="1" ht="36" x14ac:dyDescent="0.25">
      <c r="A1133" s="17" t="s">
        <v>1543</v>
      </c>
      <c r="B1133" s="18" t="s">
        <v>37</v>
      </c>
      <c r="C1133" s="76" t="s">
        <v>6996</v>
      </c>
      <c r="D1133" s="45" t="s">
        <v>6997</v>
      </c>
      <c r="E1133" s="78" t="s">
        <v>658</v>
      </c>
      <c r="F1133" s="79" t="s">
        <v>6998</v>
      </c>
      <c r="G1133" s="80">
        <v>3098395.79</v>
      </c>
      <c r="H1133" s="80">
        <v>123057</v>
      </c>
      <c r="I1133" s="78" t="s">
        <v>912</v>
      </c>
      <c r="J1133" s="79" t="s">
        <v>6999</v>
      </c>
      <c r="K1133" s="81" t="s">
        <v>7000</v>
      </c>
      <c r="L1133" s="82" t="s">
        <v>7001</v>
      </c>
      <c r="M1133" s="93">
        <v>4.7643835616438359</v>
      </c>
      <c r="N1133" s="80">
        <v>3065324.03</v>
      </c>
      <c r="O1133" s="82"/>
      <c r="P1133" s="84" t="s">
        <v>4502</v>
      </c>
      <c r="Q1133" s="80">
        <v>179567.86</v>
      </c>
      <c r="R1133" s="80">
        <v>3244891.8899999997</v>
      </c>
      <c r="S1133" s="80"/>
      <c r="T1133" s="81" t="s">
        <v>902</v>
      </c>
      <c r="U1133" s="80"/>
      <c r="V1133" s="80"/>
      <c r="W1133" s="80"/>
      <c r="X1133" s="80">
        <v>112003.14</v>
      </c>
      <c r="Y1133" s="19" t="s">
        <v>476</v>
      </c>
      <c r="Z1133" s="19" t="s">
        <v>7038</v>
      </c>
      <c r="AA1133" s="28"/>
      <c r="AB1133" s="56"/>
      <c r="AC1133" s="28"/>
      <c r="AD1133" s="28"/>
      <c r="AE1133" s="54"/>
      <c r="AF1133" s="54"/>
      <c r="AG1133" s="54"/>
      <c r="AH1133" s="53"/>
      <c r="AI1133" s="53" t="s">
        <v>1591</v>
      </c>
      <c r="AJ1133" s="53" t="s">
        <v>1591</v>
      </c>
    </row>
    <row r="1134" spans="1:36" s="3" customFormat="1" ht="36" x14ac:dyDescent="0.25">
      <c r="A1134" s="17" t="s">
        <v>1543</v>
      </c>
      <c r="B1134" s="18" t="s">
        <v>37</v>
      </c>
      <c r="C1134" s="19" t="s">
        <v>3089</v>
      </c>
      <c r="D1134" s="45" t="s">
        <v>3090</v>
      </c>
      <c r="E1134" s="50" t="s">
        <v>3268</v>
      </c>
      <c r="F1134" s="58" t="s">
        <v>3269</v>
      </c>
      <c r="G1134" s="51">
        <v>505664.22</v>
      </c>
      <c r="H1134" s="51">
        <v>114663.86</v>
      </c>
      <c r="I1134" s="50" t="s">
        <v>2053</v>
      </c>
      <c r="J1134" s="58" t="s">
        <v>2054</v>
      </c>
      <c r="K1134" s="52" t="s">
        <v>1085</v>
      </c>
      <c r="L1134" s="59">
        <v>42577</v>
      </c>
      <c r="M1134" s="60">
        <f>L1134+270</f>
        <v>42847</v>
      </c>
      <c r="N1134" s="51">
        <v>620328.07999999996</v>
      </c>
      <c r="O1134" s="59">
        <v>42851</v>
      </c>
      <c r="P1134" s="59">
        <f>M1134+27*30</f>
        <v>43657</v>
      </c>
      <c r="Q1134" s="51"/>
      <c r="R1134" s="51">
        <f>N1134+Q1134</f>
        <v>620328.07999999996</v>
      </c>
      <c r="S1134" s="51" t="s">
        <v>46</v>
      </c>
      <c r="T1134" s="52" t="s">
        <v>32</v>
      </c>
      <c r="U1134" s="51">
        <v>30626.03</v>
      </c>
      <c r="V1134" s="51">
        <v>30626.03</v>
      </c>
      <c r="W1134" s="51">
        <v>30626.03</v>
      </c>
      <c r="X1134" s="51">
        <v>166420.62</v>
      </c>
      <c r="Y1134" s="19" t="s">
        <v>575</v>
      </c>
      <c r="Z1134" s="19"/>
      <c r="AA1134" s="28"/>
      <c r="AB1134" s="56"/>
      <c r="AC1134" s="28"/>
      <c r="AD1134" s="28"/>
      <c r="AE1134" s="54"/>
      <c r="AF1134" s="54"/>
      <c r="AG1134" s="54"/>
      <c r="AH1134" s="53"/>
      <c r="AI1134" s="53" t="s">
        <v>1591</v>
      </c>
      <c r="AJ1134" s="53" t="s">
        <v>1591</v>
      </c>
    </row>
    <row r="1135" spans="1:36" s="3" customFormat="1" ht="36" x14ac:dyDescent="0.25">
      <c r="A1135" s="17" t="s">
        <v>1543</v>
      </c>
      <c r="B1135" s="18" t="s">
        <v>37</v>
      </c>
      <c r="C1135" s="19" t="s">
        <v>3091</v>
      </c>
      <c r="D1135" s="45" t="s">
        <v>3092</v>
      </c>
      <c r="E1135" s="50" t="s">
        <v>46</v>
      </c>
      <c r="F1135" s="58" t="s">
        <v>46</v>
      </c>
      <c r="G1135" s="51" t="s">
        <v>46</v>
      </c>
      <c r="H1135" s="51" t="s">
        <v>46</v>
      </c>
      <c r="I1135" s="50" t="s">
        <v>2053</v>
      </c>
      <c r="J1135" s="58" t="s">
        <v>2054</v>
      </c>
      <c r="K1135" s="52" t="s">
        <v>3270</v>
      </c>
      <c r="L1135" s="59">
        <v>42797</v>
      </c>
      <c r="M1135" s="60">
        <f>L1135+30</f>
        <v>42827</v>
      </c>
      <c r="N1135" s="51">
        <v>131694.69</v>
      </c>
      <c r="O1135" s="59">
        <v>42827</v>
      </c>
      <c r="P1135" s="59" t="s">
        <v>46</v>
      </c>
      <c r="Q1135" s="51"/>
      <c r="R1135" s="51">
        <f>N1135+Q1135</f>
        <v>131694.69</v>
      </c>
      <c r="S1135" s="51" t="s">
        <v>46</v>
      </c>
      <c r="T1135" s="52" t="s">
        <v>2382</v>
      </c>
      <c r="U1135" s="51">
        <v>131694.69</v>
      </c>
      <c r="V1135" s="51">
        <v>131694.69</v>
      </c>
      <c r="W1135" s="51">
        <v>131694.69</v>
      </c>
      <c r="X1135" s="51">
        <v>131694.69</v>
      </c>
      <c r="Y1135" s="19" t="s">
        <v>1473</v>
      </c>
      <c r="Z1135" s="19"/>
      <c r="AA1135" s="28"/>
      <c r="AB1135" s="56"/>
      <c r="AC1135" s="28"/>
      <c r="AD1135" s="28"/>
      <c r="AE1135" s="54"/>
      <c r="AF1135" s="54"/>
      <c r="AG1135" s="54"/>
      <c r="AH1135" s="53"/>
      <c r="AI1135" s="53" t="s">
        <v>1591</v>
      </c>
      <c r="AJ1135" s="53" t="s">
        <v>1591</v>
      </c>
    </row>
    <row r="1136" spans="1:36" s="3" customFormat="1" ht="48" x14ac:dyDescent="0.25">
      <c r="A1136" s="35" t="s">
        <v>2779</v>
      </c>
      <c r="B1136" s="18" t="s">
        <v>37</v>
      </c>
      <c r="C1136" s="76"/>
      <c r="D1136" s="43" t="s">
        <v>5668</v>
      </c>
      <c r="E1136" s="78"/>
      <c r="F1136" s="36" t="s">
        <v>815</v>
      </c>
      <c r="G1136" s="80"/>
      <c r="H1136" s="80"/>
      <c r="I1136" s="36" t="s">
        <v>723</v>
      </c>
      <c r="J1136" s="34" t="s">
        <v>5669</v>
      </c>
      <c r="K1136" s="37" t="s">
        <v>5670</v>
      </c>
      <c r="L1136" s="38">
        <v>41976</v>
      </c>
      <c r="M1136" s="39">
        <v>42156</v>
      </c>
      <c r="N1136" s="42">
        <v>508600</v>
      </c>
      <c r="O1136" s="85" t="s">
        <v>5671</v>
      </c>
      <c r="P1136" s="86">
        <v>42336</v>
      </c>
      <c r="Q1136" s="41" t="s">
        <v>5672</v>
      </c>
      <c r="R1136" s="41">
        <v>949947.8</v>
      </c>
      <c r="S1136" s="80"/>
      <c r="T1136" s="81"/>
      <c r="U1136" s="80"/>
      <c r="V1136" s="80"/>
      <c r="W1136" s="42"/>
      <c r="X1136" s="42" t="s">
        <v>2104</v>
      </c>
      <c r="Y1136" s="34" t="s">
        <v>4321</v>
      </c>
      <c r="Z1136" s="19" t="s">
        <v>7038</v>
      </c>
      <c r="AA1136" s="28"/>
      <c r="AB1136" s="56"/>
      <c r="AC1136" s="28"/>
      <c r="AD1136" s="28"/>
      <c r="AE1136" s="54"/>
      <c r="AF1136" s="54"/>
      <c r="AG1136" s="54"/>
      <c r="AH1136" s="53"/>
      <c r="AI1136" s="53" t="s">
        <v>1591</v>
      </c>
      <c r="AJ1136" s="53" t="s">
        <v>1591</v>
      </c>
    </row>
    <row r="1137" spans="1:36" s="3" customFormat="1" ht="36" x14ac:dyDescent="0.25">
      <c r="A1137" s="35" t="s">
        <v>2779</v>
      </c>
      <c r="B1137" s="18" t="s">
        <v>37</v>
      </c>
      <c r="C1137" s="76" t="s">
        <v>4483</v>
      </c>
      <c r="D1137" s="45" t="s">
        <v>5674</v>
      </c>
      <c r="E1137" s="78" t="s">
        <v>5675</v>
      </c>
      <c r="F1137" s="79" t="s">
        <v>252</v>
      </c>
      <c r="G1137" s="80">
        <v>408000</v>
      </c>
      <c r="H1137" s="80">
        <v>50701.89</v>
      </c>
      <c r="I1137" s="78" t="s">
        <v>5676</v>
      </c>
      <c r="J1137" s="79" t="s">
        <v>5677</v>
      </c>
      <c r="K1137" s="81" t="s">
        <v>670</v>
      </c>
      <c r="L1137" s="82">
        <v>42488</v>
      </c>
      <c r="M1137" s="83">
        <v>42853</v>
      </c>
      <c r="N1137" s="80">
        <v>458701.89</v>
      </c>
      <c r="O1137" s="82">
        <v>42852</v>
      </c>
      <c r="P1137" s="84"/>
      <c r="Q1137" s="80">
        <v>0</v>
      </c>
      <c r="R1137" s="80">
        <v>458701.89</v>
      </c>
      <c r="S1137" s="80"/>
      <c r="T1137" s="81" t="s">
        <v>448</v>
      </c>
      <c r="U1137" s="80">
        <v>333445.21000000002</v>
      </c>
      <c r="V1137" s="80"/>
      <c r="W1137" s="80"/>
      <c r="X1137" s="80">
        <v>333445.21000000002</v>
      </c>
      <c r="Y1137" s="76" t="s">
        <v>157</v>
      </c>
      <c r="Z1137" s="19" t="s">
        <v>7038</v>
      </c>
      <c r="AA1137" s="28"/>
      <c r="AB1137" s="56"/>
      <c r="AC1137" s="28"/>
      <c r="AD1137" s="28"/>
      <c r="AE1137" s="54"/>
      <c r="AF1137" s="54"/>
      <c r="AG1137" s="54"/>
      <c r="AH1137" s="53"/>
      <c r="AI1137" s="53" t="s">
        <v>1591</v>
      </c>
      <c r="AJ1137" s="53" t="s">
        <v>1591</v>
      </c>
    </row>
    <row r="1138" spans="1:36" s="3" customFormat="1" ht="36" x14ac:dyDescent="0.25">
      <c r="A1138" s="35" t="s">
        <v>2779</v>
      </c>
      <c r="B1138" s="18" t="s">
        <v>37</v>
      </c>
      <c r="C1138" s="76"/>
      <c r="D1138" s="43" t="s">
        <v>5678</v>
      </c>
      <c r="E1138" s="78"/>
      <c r="F1138" s="36" t="s">
        <v>2780</v>
      </c>
      <c r="G1138" s="80"/>
      <c r="H1138" s="80"/>
      <c r="I1138" s="36" t="s">
        <v>1883</v>
      </c>
      <c r="J1138" s="34" t="s">
        <v>5679</v>
      </c>
      <c r="K1138" s="37" t="s">
        <v>2310</v>
      </c>
      <c r="L1138" s="38">
        <v>41662</v>
      </c>
      <c r="M1138" s="39">
        <v>41782</v>
      </c>
      <c r="N1138" s="42">
        <v>427477.27</v>
      </c>
      <c r="O1138" s="85">
        <v>41897</v>
      </c>
      <c r="P1138" s="86">
        <v>41902</v>
      </c>
      <c r="Q1138" s="41">
        <v>0</v>
      </c>
      <c r="R1138" s="41">
        <v>427477.27</v>
      </c>
      <c r="S1138" s="80"/>
      <c r="T1138" s="81"/>
      <c r="U1138" s="80"/>
      <c r="V1138" s="80"/>
      <c r="W1138" s="42"/>
      <c r="X1138" s="42">
        <v>407397.28</v>
      </c>
      <c r="Y1138" s="34" t="s">
        <v>4321</v>
      </c>
      <c r="Z1138" s="19" t="s">
        <v>7038</v>
      </c>
      <c r="AA1138" s="28"/>
      <c r="AB1138" s="56"/>
      <c r="AC1138" s="28"/>
      <c r="AD1138" s="28"/>
      <c r="AE1138" s="54"/>
      <c r="AF1138" s="54"/>
      <c r="AG1138" s="54"/>
      <c r="AH1138" s="53"/>
      <c r="AI1138" s="53" t="s">
        <v>1591</v>
      </c>
      <c r="AJ1138" s="53" t="s">
        <v>1591</v>
      </c>
    </row>
    <row r="1139" spans="1:36" s="3" customFormat="1" ht="48" x14ac:dyDescent="0.25">
      <c r="A1139" s="35" t="s">
        <v>2779</v>
      </c>
      <c r="B1139" s="18" t="s">
        <v>37</v>
      </c>
      <c r="C1139" s="76"/>
      <c r="D1139" s="43" t="s">
        <v>5680</v>
      </c>
      <c r="E1139" s="78"/>
      <c r="F1139" s="36" t="s">
        <v>815</v>
      </c>
      <c r="G1139" s="80"/>
      <c r="H1139" s="80"/>
      <c r="I1139" s="36" t="s">
        <v>723</v>
      </c>
      <c r="J1139" s="34" t="s">
        <v>5669</v>
      </c>
      <c r="K1139" s="37" t="s">
        <v>5681</v>
      </c>
      <c r="L1139" s="38">
        <v>41955</v>
      </c>
      <c r="M1139" s="39">
        <v>42135</v>
      </c>
      <c r="N1139" s="42">
        <v>184000</v>
      </c>
      <c r="O1139" s="85" t="s">
        <v>5682</v>
      </c>
      <c r="P1139" s="86">
        <v>42315</v>
      </c>
      <c r="Q1139" s="41" t="s">
        <v>5683</v>
      </c>
      <c r="R1139" s="41">
        <v>331148.61</v>
      </c>
      <c r="S1139" s="80"/>
      <c r="T1139" s="81"/>
      <c r="U1139" s="80"/>
      <c r="V1139" s="80"/>
      <c r="W1139" s="42"/>
      <c r="X1139" s="42" t="s">
        <v>5684</v>
      </c>
      <c r="Y1139" s="34" t="s">
        <v>4321</v>
      </c>
      <c r="Z1139" s="19" t="s">
        <v>7038</v>
      </c>
      <c r="AA1139" s="28"/>
      <c r="AB1139" s="56"/>
      <c r="AC1139" s="28"/>
      <c r="AD1139" s="28"/>
      <c r="AE1139" s="54"/>
      <c r="AF1139" s="54"/>
      <c r="AG1139" s="54"/>
      <c r="AH1139" s="53"/>
      <c r="AI1139" s="53" t="s">
        <v>1591</v>
      </c>
      <c r="AJ1139" s="53" t="s">
        <v>1591</v>
      </c>
    </row>
    <row r="1140" spans="1:36" s="3" customFormat="1" ht="36" x14ac:dyDescent="0.25">
      <c r="A1140" s="17" t="s">
        <v>1544</v>
      </c>
      <c r="B1140" s="18" t="s">
        <v>37</v>
      </c>
      <c r="C1140" s="76" t="s">
        <v>1551</v>
      </c>
      <c r="D1140" s="45" t="s">
        <v>5686</v>
      </c>
      <c r="E1140" s="78"/>
      <c r="F1140" s="79"/>
      <c r="G1140" s="80"/>
      <c r="H1140" s="80"/>
      <c r="I1140" s="78" t="s">
        <v>1547</v>
      </c>
      <c r="J1140" s="79" t="s">
        <v>5685</v>
      </c>
      <c r="K1140" s="81" t="s">
        <v>5687</v>
      </c>
      <c r="L1140" s="82">
        <v>42244</v>
      </c>
      <c r="M1140" s="83">
        <v>42424</v>
      </c>
      <c r="N1140" s="80">
        <v>127470.04</v>
      </c>
      <c r="O1140" s="82"/>
      <c r="P1140" s="84"/>
      <c r="Q1140" s="80">
        <v>0</v>
      </c>
      <c r="R1140" s="80">
        <v>127470.04</v>
      </c>
      <c r="S1140" s="80"/>
      <c r="T1140" s="81" t="s">
        <v>52</v>
      </c>
      <c r="U1140" s="80">
        <v>10400.9</v>
      </c>
      <c r="V1140" s="80"/>
      <c r="W1140" s="80"/>
      <c r="X1140" s="80">
        <v>10400.9</v>
      </c>
      <c r="Y1140" s="76" t="s">
        <v>133</v>
      </c>
      <c r="Z1140" s="19" t="s">
        <v>7038</v>
      </c>
      <c r="AA1140" s="28"/>
      <c r="AB1140" s="56"/>
      <c r="AC1140" s="28"/>
      <c r="AD1140" s="28"/>
      <c r="AE1140" s="54"/>
      <c r="AF1140" s="54"/>
      <c r="AG1140" s="54"/>
      <c r="AH1140" s="53"/>
      <c r="AI1140" s="53" t="s">
        <v>1591</v>
      </c>
      <c r="AJ1140" s="53" t="s">
        <v>1591</v>
      </c>
    </row>
    <row r="1141" spans="1:36" s="3" customFormat="1" ht="36" x14ac:dyDescent="0.25">
      <c r="A1141" s="17" t="s">
        <v>1544</v>
      </c>
      <c r="B1141" s="18" t="s">
        <v>37</v>
      </c>
      <c r="C1141" s="76" t="s">
        <v>5688</v>
      </c>
      <c r="D1141" s="45" t="s">
        <v>5689</v>
      </c>
      <c r="E1141" s="78"/>
      <c r="F1141" s="79"/>
      <c r="G1141" s="80"/>
      <c r="H1141" s="80"/>
      <c r="I1141" s="78" t="s">
        <v>715</v>
      </c>
      <c r="J1141" s="79" t="s">
        <v>5690</v>
      </c>
      <c r="K1141" s="81" t="s">
        <v>5691</v>
      </c>
      <c r="L1141" s="82">
        <v>42076</v>
      </c>
      <c r="M1141" s="83">
        <v>42196</v>
      </c>
      <c r="N1141" s="80">
        <v>92060.56</v>
      </c>
      <c r="O1141" s="82"/>
      <c r="P1141" s="84"/>
      <c r="Q1141" s="80">
        <v>0</v>
      </c>
      <c r="R1141" s="80">
        <v>92060.56</v>
      </c>
      <c r="S1141" s="80"/>
      <c r="T1141" s="81" t="s">
        <v>52</v>
      </c>
      <c r="U1141" s="80">
        <v>48129.26</v>
      </c>
      <c r="V1141" s="80"/>
      <c r="W1141" s="80"/>
      <c r="X1141" s="80">
        <v>48129.26</v>
      </c>
      <c r="Y1141" s="76" t="s">
        <v>133</v>
      </c>
      <c r="Z1141" s="19" t="s">
        <v>7038</v>
      </c>
      <c r="AA1141" s="28"/>
      <c r="AB1141" s="56"/>
      <c r="AC1141" s="28"/>
      <c r="AD1141" s="28"/>
      <c r="AE1141" s="54"/>
      <c r="AF1141" s="54"/>
      <c r="AG1141" s="54"/>
      <c r="AH1141" s="53"/>
      <c r="AI1141" s="53" t="s">
        <v>1591</v>
      </c>
      <c r="AJ1141" s="53" t="s">
        <v>1591</v>
      </c>
    </row>
    <row r="1142" spans="1:36" s="3" customFormat="1" ht="60" x14ac:dyDescent="0.25">
      <c r="A1142" s="17" t="s">
        <v>1552</v>
      </c>
      <c r="B1142" s="18" t="s">
        <v>37</v>
      </c>
      <c r="C1142" s="19" t="s">
        <v>1553</v>
      </c>
      <c r="D1142" s="45" t="s">
        <v>1554</v>
      </c>
      <c r="E1142" s="50"/>
      <c r="F1142" s="58" t="s">
        <v>43</v>
      </c>
      <c r="G1142" s="51">
        <v>600727.29</v>
      </c>
      <c r="H1142" s="51" t="s">
        <v>46</v>
      </c>
      <c r="I1142" s="50" t="s">
        <v>1077</v>
      </c>
      <c r="J1142" s="58" t="s">
        <v>1555</v>
      </c>
      <c r="K1142" s="52" t="s">
        <v>1556</v>
      </c>
      <c r="L1142" s="59">
        <v>42213</v>
      </c>
      <c r="M1142" s="60">
        <f>L1142+12*30</f>
        <v>42573</v>
      </c>
      <c r="N1142" s="51">
        <v>600516.75</v>
      </c>
      <c r="O1142" s="59">
        <v>42579</v>
      </c>
      <c r="P1142" s="59" t="s">
        <v>46</v>
      </c>
      <c r="Q1142" s="51"/>
      <c r="R1142" s="51">
        <f>N1142+Q1142</f>
        <v>600516.75</v>
      </c>
      <c r="S1142" s="51" t="s">
        <v>46</v>
      </c>
      <c r="T1142" s="52" t="s">
        <v>1557</v>
      </c>
      <c r="U1142" s="51">
        <v>147896.76</v>
      </c>
      <c r="V1142" s="51" t="s">
        <v>645</v>
      </c>
      <c r="W1142" s="51"/>
      <c r="X1142" s="51">
        <v>147896.76</v>
      </c>
      <c r="Y1142" s="19" t="s">
        <v>1558</v>
      </c>
      <c r="Z1142" s="19"/>
      <c r="AA1142" s="28" t="s">
        <v>8026</v>
      </c>
      <c r="AB1142" s="56">
        <v>43417</v>
      </c>
      <c r="AC1142" s="28" t="s">
        <v>8027</v>
      </c>
      <c r="AD1142" s="28" t="s">
        <v>8028</v>
      </c>
      <c r="AE1142" s="54" t="s">
        <v>8029</v>
      </c>
      <c r="AF1142" s="54"/>
      <c r="AG1142" s="54" t="s">
        <v>8030</v>
      </c>
      <c r="AH1142" s="53" t="s">
        <v>1591</v>
      </c>
      <c r="AI1142" s="53" t="s">
        <v>2686</v>
      </c>
      <c r="AJ1142" s="53" t="s">
        <v>1591</v>
      </c>
    </row>
    <row r="1143" spans="1:36" s="3" customFormat="1" ht="96" x14ac:dyDescent="0.25">
      <c r="A1143" s="17" t="s">
        <v>1552</v>
      </c>
      <c r="B1143" s="18" t="s">
        <v>37</v>
      </c>
      <c r="C1143" s="19" t="s">
        <v>1020</v>
      </c>
      <c r="D1143" s="45"/>
      <c r="E1143" s="50"/>
      <c r="F1143" s="58" t="s">
        <v>889</v>
      </c>
      <c r="G1143" s="51">
        <v>602957.55000000005</v>
      </c>
      <c r="H1143" s="51"/>
      <c r="I1143" s="50" t="s">
        <v>900</v>
      </c>
      <c r="J1143" s="58" t="s">
        <v>1564</v>
      </c>
      <c r="K1143" s="52" t="s">
        <v>1248</v>
      </c>
      <c r="L1143" s="59">
        <v>41971</v>
      </c>
      <c r="M1143" s="60">
        <f>L1143+8*30</f>
        <v>42211</v>
      </c>
      <c r="N1143" s="51">
        <v>600375.43000000005</v>
      </c>
      <c r="O1143" s="59" t="s">
        <v>46</v>
      </c>
      <c r="P1143" s="59" t="s">
        <v>46</v>
      </c>
      <c r="Q1143" s="51"/>
      <c r="R1143" s="51">
        <f>N1143+Q1143</f>
        <v>600375.43000000005</v>
      </c>
      <c r="S1143" s="51" t="s">
        <v>46</v>
      </c>
      <c r="T1143" s="52" t="s">
        <v>1565</v>
      </c>
      <c r="U1143" s="51">
        <v>100608.24</v>
      </c>
      <c r="V1143" s="51">
        <v>20040.18</v>
      </c>
      <c r="W1143" s="51">
        <v>20040.18</v>
      </c>
      <c r="X1143" s="51">
        <v>100608.24</v>
      </c>
      <c r="Y1143" s="19" t="s">
        <v>157</v>
      </c>
      <c r="Z1143" s="19" t="s">
        <v>4310</v>
      </c>
      <c r="AA1143" s="28" t="s">
        <v>8026</v>
      </c>
      <c r="AB1143" s="56">
        <v>43417</v>
      </c>
      <c r="AC1143" s="28" t="s">
        <v>8027</v>
      </c>
      <c r="AD1143" s="28" t="s">
        <v>8028</v>
      </c>
      <c r="AE1143" s="54" t="s">
        <v>8031</v>
      </c>
      <c r="AF1143" s="54"/>
      <c r="AG1143" s="54" t="s">
        <v>8032</v>
      </c>
      <c r="AH1143" s="53" t="s">
        <v>1591</v>
      </c>
      <c r="AI1143" s="53" t="s">
        <v>2686</v>
      </c>
      <c r="AJ1143" s="53" t="s">
        <v>1591</v>
      </c>
    </row>
    <row r="1144" spans="1:36" s="3" customFormat="1" ht="60" x14ac:dyDescent="0.25">
      <c r="A1144" s="17" t="s">
        <v>1552</v>
      </c>
      <c r="B1144" s="18" t="s">
        <v>37</v>
      </c>
      <c r="C1144" s="19" t="s">
        <v>1509</v>
      </c>
      <c r="D1144" s="45" t="s">
        <v>1554</v>
      </c>
      <c r="E1144" s="50"/>
      <c r="F1144" s="58" t="s">
        <v>43</v>
      </c>
      <c r="G1144" s="51">
        <v>600727.29</v>
      </c>
      <c r="H1144" s="51" t="s">
        <v>46</v>
      </c>
      <c r="I1144" s="50" t="s">
        <v>1505</v>
      </c>
      <c r="J1144" s="58" t="s">
        <v>1570</v>
      </c>
      <c r="K1144" s="52" t="s">
        <v>108</v>
      </c>
      <c r="L1144" s="59">
        <v>42688</v>
      </c>
      <c r="M1144" s="60">
        <f>L1144+12*30</f>
        <v>43048</v>
      </c>
      <c r="N1144" s="51">
        <v>496570.62</v>
      </c>
      <c r="O1144" s="59">
        <v>42579</v>
      </c>
      <c r="P1144" s="59" t="s">
        <v>46</v>
      </c>
      <c r="Q1144" s="51"/>
      <c r="R1144" s="51">
        <f>N1144+Q1144</f>
        <v>496570.62</v>
      </c>
      <c r="S1144" s="51" t="s">
        <v>46</v>
      </c>
      <c r="T1144" s="52" t="s">
        <v>1557</v>
      </c>
      <c r="U1144" s="51">
        <v>147896.76</v>
      </c>
      <c r="V1144" s="51" t="s">
        <v>645</v>
      </c>
      <c r="W1144" s="51"/>
      <c r="X1144" s="51">
        <v>147896.76</v>
      </c>
      <c r="Y1144" s="19" t="s">
        <v>503</v>
      </c>
      <c r="Z1144" s="19"/>
      <c r="AA1144" s="28" t="s">
        <v>8026</v>
      </c>
      <c r="AB1144" s="56">
        <v>43417</v>
      </c>
      <c r="AC1144" s="28" t="s">
        <v>8027</v>
      </c>
      <c r="AD1144" s="28" t="s">
        <v>8028</v>
      </c>
      <c r="AE1144" s="54" t="s">
        <v>8033</v>
      </c>
      <c r="AF1144" s="54"/>
      <c r="AG1144" s="54" t="s">
        <v>8034</v>
      </c>
      <c r="AH1144" s="53" t="s">
        <v>1591</v>
      </c>
      <c r="AI1144" s="53" t="s">
        <v>2686</v>
      </c>
      <c r="AJ1144" s="53" t="s">
        <v>1591</v>
      </c>
    </row>
    <row r="1145" spans="1:36" s="3" customFormat="1" ht="36" x14ac:dyDescent="0.25">
      <c r="A1145" s="35" t="s">
        <v>2844</v>
      </c>
      <c r="B1145" s="18" t="s">
        <v>37</v>
      </c>
      <c r="C1145" s="76"/>
      <c r="D1145" s="43" t="s">
        <v>5692</v>
      </c>
      <c r="E1145" s="78"/>
      <c r="F1145" s="36"/>
      <c r="G1145" s="80"/>
      <c r="H1145" s="80"/>
      <c r="I1145" s="36" t="s">
        <v>5693</v>
      </c>
      <c r="J1145" s="34" t="s">
        <v>5694</v>
      </c>
      <c r="K1145" s="37" t="s">
        <v>5695</v>
      </c>
      <c r="L1145" s="38">
        <v>40813</v>
      </c>
      <c r="M1145" s="39">
        <v>41173</v>
      </c>
      <c r="N1145" s="42">
        <v>279927.42</v>
      </c>
      <c r="O1145" s="85"/>
      <c r="P1145" s="86">
        <v>41173</v>
      </c>
      <c r="Q1145" s="41"/>
      <c r="R1145" s="41">
        <v>279927.42</v>
      </c>
      <c r="S1145" s="80"/>
      <c r="T1145" s="81"/>
      <c r="U1145" s="80"/>
      <c r="V1145" s="80"/>
      <c r="W1145" s="42"/>
      <c r="X1145" s="42">
        <v>213118.62</v>
      </c>
      <c r="Y1145" s="34" t="s">
        <v>4321</v>
      </c>
      <c r="Z1145" s="19" t="s">
        <v>7038</v>
      </c>
      <c r="AA1145" s="28" t="s">
        <v>8026</v>
      </c>
      <c r="AB1145" s="56">
        <v>43417</v>
      </c>
      <c r="AC1145" s="28" t="s">
        <v>8027</v>
      </c>
      <c r="AD1145" s="28" t="s">
        <v>8028</v>
      </c>
      <c r="AE1145" s="54" t="s">
        <v>8035</v>
      </c>
      <c r="AF1145" s="54"/>
      <c r="AG1145" s="54"/>
      <c r="AH1145" s="53" t="s">
        <v>1591</v>
      </c>
      <c r="AI1145" s="53" t="s">
        <v>2686</v>
      </c>
      <c r="AJ1145" s="53" t="s">
        <v>1591</v>
      </c>
    </row>
    <row r="1146" spans="1:36" s="3" customFormat="1" ht="36" x14ac:dyDescent="0.25">
      <c r="A1146" s="17" t="s">
        <v>1552</v>
      </c>
      <c r="B1146" s="18" t="s">
        <v>37</v>
      </c>
      <c r="C1146" s="19" t="s">
        <v>1005</v>
      </c>
      <c r="D1146" s="45" t="s">
        <v>1559</v>
      </c>
      <c r="E1146" s="50"/>
      <c r="F1146" s="58" t="s">
        <v>1560</v>
      </c>
      <c r="G1146" s="51"/>
      <c r="H1146" s="51">
        <v>45690.89</v>
      </c>
      <c r="I1146" s="50" t="s">
        <v>1044</v>
      </c>
      <c r="J1146" s="58" t="s">
        <v>1561</v>
      </c>
      <c r="K1146" s="52" t="s">
        <v>1562</v>
      </c>
      <c r="L1146" s="59">
        <v>41857</v>
      </c>
      <c r="M1146" s="60">
        <f>L1146+90</f>
        <v>41947</v>
      </c>
      <c r="N1146" s="51">
        <v>68704.08</v>
      </c>
      <c r="O1146" s="59" t="s">
        <v>46</v>
      </c>
      <c r="P1146" s="59">
        <f>M1146+2*30</f>
        <v>42007</v>
      </c>
      <c r="Q1146" s="51"/>
      <c r="R1146" s="51">
        <f t="shared" ref="R1146:R1153" si="44">N1146+Q1146</f>
        <v>68704.08</v>
      </c>
      <c r="S1146" s="51" t="s">
        <v>46</v>
      </c>
      <c r="T1146" s="52" t="s">
        <v>1563</v>
      </c>
      <c r="U1146" s="51" t="s">
        <v>645</v>
      </c>
      <c r="V1146" s="51" t="s">
        <v>645</v>
      </c>
      <c r="W1146" s="51"/>
      <c r="X1146" s="51">
        <v>39864.370000000003</v>
      </c>
      <c r="Y1146" s="19" t="s">
        <v>890</v>
      </c>
      <c r="Z1146" s="19"/>
      <c r="AA1146" s="28" t="s">
        <v>8026</v>
      </c>
      <c r="AB1146" s="56">
        <v>43417</v>
      </c>
      <c r="AC1146" s="28" t="s">
        <v>8027</v>
      </c>
      <c r="AD1146" s="28" t="s">
        <v>8028</v>
      </c>
      <c r="AE1146" s="54" t="s">
        <v>8035</v>
      </c>
      <c r="AF1146" s="54"/>
      <c r="AG1146" s="54"/>
      <c r="AH1146" s="53" t="s">
        <v>1591</v>
      </c>
      <c r="AI1146" s="53" t="s">
        <v>2686</v>
      </c>
      <c r="AJ1146" s="53" t="s">
        <v>1591</v>
      </c>
    </row>
    <row r="1147" spans="1:36" s="3" customFormat="1" ht="36" x14ac:dyDescent="0.25">
      <c r="A1147" s="17" t="s">
        <v>1552</v>
      </c>
      <c r="B1147" s="18" t="s">
        <v>37</v>
      </c>
      <c r="C1147" s="19" t="s">
        <v>1566</v>
      </c>
      <c r="D1147" s="45" t="s">
        <v>1567</v>
      </c>
      <c r="E1147" s="50"/>
      <c r="F1147" s="58"/>
      <c r="G1147" s="51"/>
      <c r="H1147" s="51"/>
      <c r="I1147" s="50" t="s">
        <v>46</v>
      </c>
      <c r="J1147" s="58" t="s">
        <v>46</v>
      </c>
      <c r="K1147" s="52"/>
      <c r="L1147" s="59">
        <v>0</v>
      </c>
      <c r="M1147" s="60" t="s">
        <v>46</v>
      </c>
      <c r="N1147" s="51">
        <v>0</v>
      </c>
      <c r="O1147" s="59">
        <v>41179</v>
      </c>
      <c r="P1147" s="59" t="s">
        <v>46</v>
      </c>
      <c r="Q1147" s="51"/>
      <c r="R1147" s="51">
        <f t="shared" si="44"/>
        <v>0</v>
      </c>
      <c r="S1147" s="51" t="s">
        <v>46</v>
      </c>
      <c r="T1147" s="52" t="s">
        <v>46</v>
      </c>
      <c r="U1147" s="51">
        <v>213118.62</v>
      </c>
      <c r="V1147" s="51" t="s">
        <v>645</v>
      </c>
      <c r="W1147" s="51"/>
      <c r="X1147" s="51">
        <v>213118.62</v>
      </c>
      <c r="Y1147" s="19" t="s">
        <v>498</v>
      </c>
      <c r="Z1147" s="19" t="s">
        <v>4307</v>
      </c>
      <c r="AA1147" s="28" t="s">
        <v>8026</v>
      </c>
      <c r="AB1147" s="56">
        <v>43417</v>
      </c>
      <c r="AC1147" s="28" t="s">
        <v>8027</v>
      </c>
      <c r="AD1147" s="28" t="s">
        <v>8028</v>
      </c>
      <c r="AE1147" s="54" t="s">
        <v>8036</v>
      </c>
      <c r="AF1147" s="54"/>
      <c r="AG1147" s="54" t="s">
        <v>8037</v>
      </c>
      <c r="AH1147" s="53" t="s">
        <v>1591</v>
      </c>
      <c r="AI1147" s="53" t="s">
        <v>2686</v>
      </c>
      <c r="AJ1147" s="53" t="s">
        <v>1591</v>
      </c>
    </row>
    <row r="1148" spans="1:36" s="3" customFormat="1" ht="36" x14ac:dyDescent="0.25">
      <c r="A1148" s="17" t="s">
        <v>1571</v>
      </c>
      <c r="B1148" s="18" t="s">
        <v>37</v>
      </c>
      <c r="C1148" s="19" t="s">
        <v>1317</v>
      </c>
      <c r="D1148" s="45" t="s">
        <v>3093</v>
      </c>
      <c r="E1148" s="50"/>
      <c r="F1148" s="58"/>
      <c r="G1148" s="51"/>
      <c r="H1148" s="51"/>
      <c r="I1148" s="50" t="s">
        <v>145</v>
      </c>
      <c r="J1148" s="58" t="s">
        <v>3271</v>
      </c>
      <c r="K1148" s="52" t="s">
        <v>1317</v>
      </c>
      <c r="L1148" s="59">
        <v>42160</v>
      </c>
      <c r="M1148" s="60">
        <f t="shared" ref="M1148:M1153" si="45">L1148+365</f>
        <v>42525</v>
      </c>
      <c r="N1148" s="51">
        <v>1540298.65</v>
      </c>
      <c r="O1148" s="59"/>
      <c r="P1148" s="59"/>
      <c r="Q1148" s="51"/>
      <c r="R1148" s="51">
        <f t="shared" si="44"/>
        <v>1540298.65</v>
      </c>
      <c r="S1148" s="51"/>
      <c r="T1148" s="52"/>
      <c r="U1148" s="51">
        <v>981785.72</v>
      </c>
      <c r="V1148" s="51"/>
      <c r="W1148" s="51"/>
      <c r="X1148" s="51">
        <v>981785.72</v>
      </c>
      <c r="Y1148" s="19" t="s">
        <v>175</v>
      </c>
      <c r="Z1148" s="19"/>
      <c r="AA1148" s="28"/>
      <c r="AB1148" s="56"/>
      <c r="AC1148" s="28"/>
      <c r="AD1148" s="28"/>
      <c r="AE1148" s="54"/>
      <c r="AF1148" s="54"/>
      <c r="AG1148" s="54"/>
      <c r="AH1148" s="53"/>
      <c r="AI1148" s="53" t="s">
        <v>1591</v>
      </c>
      <c r="AJ1148" s="53" t="s">
        <v>1591</v>
      </c>
    </row>
    <row r="1149" spans="1:36" s="3" customFormat="1" ht="24" x14ac:dyDescent="0.25">
      <c r="A1149" s="17" t="s">
        <v>1571</v>
      </c>
      <c r="B1149" s="18" t="s">
        <v>37</v>
      </c>
      <c r="C1149" s="19" t="s">
        <v>3103</v>
      </c>
      <c r="D1149" s="45" t="s">
        <v>3104</v>
      </c>
      <c r="E1149" s="50"/>
      <c r="F1149" s="58"/>
      <c r="G1149" s="51"/>
      <c r="H1149" s="51"/>
      <c r="I1149" s="50"/>
      <c r="J1149" s="58"/>
      <c r="K1149" s="52" t="s">
        <v>2516</v>
      </c>
      <c r="L1149" s="59">
        <v>42926</v>
      </c>
      <c r="M1149" s="60">
        <f t="shared" si="45"/>
        <v>43291</v>
      </c>
      <c r="N1149" s="51">
        <v>866418.36</v>
      </c>
      <c r="O1149" s="59"/>
      <c r="P1149" s="59"/>
      <c r="Q1149" s="51"/>
      <c r="R1149" s="51">
        <f t="shared" si="44"/>
        <v>866418.36</v>
      </c>
      <c r="S1149" s="51"/>
      <c r="T1149" s="52"/>
      <c r="U1149" s="51">
        <v>107761.56</v>
      </c>
      <c r="V1149" s="51"/>
      <c r="W1149" s="51"/>
      <c r="X1149" s="51">
        <v>107761.56</v>
      </c>
      <c r="Y1149" s="19" t="s">
        <v>175</v>
      </c>
      <c r="Z1149" s="19"/>
      <c r="AA1149" s="28"/>
      <c r="AB1149" s="56"/>
      <c r="AC1149" s="28"/>
      <c r="AD1149" s="28"/>
      <c r="AE1149" s="54"/>
      <c r="AF1149" s="54"/>
      <c r="AG1149" s="54"/>
      <c r="AH1149" s="53"/>
      <c r="AI1149" s="53" t="s">
        <v>1591</v>
      </c>
      <c r="AJ1149" s="53" t="s">
        <v>1591</v>
      </c>
    </row>
    <row r="1150" spans="1:36" s="3" customFormat="1" ht="24" x14ac:dyDescent="0.25">
      <c r="A1150" s="17" t="s">
        <v>1571</v>
      </c>
      <c r="B1150" s="18" t="s">
        <v>37</v>
      </c>
      <c r="C1150" s="19" t="s">
        <v>1185</v>
      </c>
      <c r="D1150" s="45" t="s">
        <v>3094</v>
      </c>
      <c r="E1150" s="50"/>
      <c r="F1150" s="58"/>
      <c r="G1150" s="51"/>
      <c r="H1150" s="51"/>
      <c r="I1150" s="50" t="s">
        <v>2770</v>
      </c>
      <c r="J1150" s="58" t="s">
        <v>3272</v>
      </c>
      <c r="K1150" s="52" t="s">
        <v>3273</v>
      </c>
      <c r="L1150" s="59">
        <v>41954</v>
      </c>
      <c r="M1150" s="60">
        <f t="shared" si="45"/>
        <v>42319</v>
      </c>
      <c r="N1150" s="51">
        <v>507909.27</v>
      </c>
      <c r="O1150" s="59"/>
      <c r="P1150" s="59"/>
      <c r="Q1150" s="51"/>
      <c r="R1150" s="51">
        <f t="shared" si="44"/>
        <v>507909.27</v>
      </c>
      <c r="S1150" s="51"/>
      <c r="T1150" s="52"/>
      <c r="U1150" s="51">
        <v>234817.51</v>
      </c>
      <c r="V1150" s="51"/>
      <c r="W1150" s="51"/>
      <c r="X1150" s="51">
        <v>234817.51</v>
      </c>
      <c r="Y1150" s="19" t="s">
        <v>175</v>
      </c>
      <c r="Z1150" s="19"/>
      <c r="AA1150" s="28"/>
      <c r="AB1150" s="56"/>
      <c r="AC1150" s="28"/>
      <c r="AD1150" s="28"/>
      <c r="AE1150" s="54"/>
      <c r="AF1150" s="54"/>
      <c r="AG1150" s="54"/>
      <c r="AH1150" s="53"/>
      <c r="AI1150" s="53" t="s">
        <v>1591</v>
      </c>
      <c r="AJ1150" s="53" t="s">
        <v>1591</v>
      </c>
    </row>
    <row r="1151" spans="1:36" s="3" customFormat="1" ht="24" x14ac:dyDescent="0.25">
      <c r="A1151" s="17" t="s">
        <v>1571</v>
      </c>
      <c r="B1151" s="18" t="s">
        <v>37</v>
      </c>
      <c r="C1151" s="19" t="s">
        <v>54</v>
      </c>
      <c r="D1151" s="45" t="s">
        <v>3095</v>
      </c>
      <c r="E1151" s="50"/>
      <c r="F1151" s="58"/>
      <c r="G1151" s="51"/>
      <c r="H1151" s="51"/>
      <c r="I1151" s="50" t="s">
        <v>962</v>
      </c>
      <c r="J1151" s="58" t="s">
        <v>3274</v>
      </c>
      <c r="K1151" s="52" t="s">
        <v>2101</v>
      </c>
      <c r="L1151" s="59">
        <v>41804</v>
      </c>
      <c r="M1151" s="60">
        <f t="shared" si="45"/>
        <v>42169</v>
      </c>
      <c r="N1151" s="51">
        <v>406000</v>
      </c>
      <c r="O1151" s="59"/>
      <c r="P1151" s="59"/>
      <c r="Q1151" s="51"/>
      <c r="R1151" s="51">
        <f t="shared" si="44"/>
        <v>406000</v>
      </c>
      <c r="S1151" s="51"/>
      <c r="T1151" s="52"/>
      <c r="U1151" s="51">
        <v>324382.62</v>
      </c>
      <c r="V1151" s="51"/>
      <c r="W1151" s="51"/>
      <c r="X1151" s="51">
        <v>324382.62</v>
      </c>
      <c r="Y1151" s="19" t="s">
        <v>175</v>
      </c>
      <c r="Z1151" s="19"/>
      <c r="AA1151" s="28"/>
      <c r="AB1151" s="56"/>
      <c r="AC1151" s="28"/>
      <c r="AD1151" s="28"/>
      <c r="AE1151" s="54"/>
      <c r="AF1151" s="54"/>
      <c r="AG1151" s="54"/>
      <c r="AH1151" s="53"/>
      <c r="AI1151" s="53" t="s">
        <v>1591</v>
      </c>
      <c r="AJ1151" s="53" t="s">
        <v>1591</v>
      </c>
    </row>
    <row r="1152" spans="1:36" s="3" customFormat="1" ht="24" x14ac:dyDescent="0.25">
      <c r="A1152" s="17" t="s">
        <v>1571</v>
      </c>
      <c r="B1152" s="18" t="s">
        <v>37</v>
      </c>
      <c r="C1152" s="19" t="s">
        <v>2931</v>
      </c>
      <c r="D1152" s="45" t="s">
        <v>3096</v>
      </c>
      <c r="E1152" s="50"/>
      <c r="F1152" s="58"/>
      <c r="G1152" s="51"/>
      <c r="H1152" s="51"/>
      <c r="I1152" s="50" t="s">
        <v>1542</v>
      </c>
      <c r="J1152" s="58" t="s">
        <v>3275</v>
      </c>
      <c r="K1152" s="52" t="s">
        <v>3276</v>
      </c>
      <c r="L1152" s="59">
        <v>41948</v>
      </c>
      <c r="M1152" s="60">
        <f t="shared" si="45"/>
        <v>42313</v>
      </c>
      <c r="N1152" s="51">
        <v>233144.63</v>
      </c>
      <c r="O1152" s="59"/>
      <c r="P1152" s="59"/>
      <c r="Q1152" s="51"/>
      <c r="R1152" s="51">
        <f t="shared" si="44"/>
        <v>233144.63</v>
      </c>
      <c r="S1152" s="51"/>
      <c r="T1152" s="52"/>
      <c r="U1152" s="51">
        <v>185094.06</v>
      </c>
      <c r="V1152" s="51"/>
      <c r="W1152" s="51"/>
      <c r="X1152" s="51">
        <v>185094.06</v>
      </c>
      <c r="Y1152" s="19" t="s">
        <v>175</v>
      </c>
      <c r="Z1152" s="19"/>
      <c r="AA1152" s="28"/>
      <c r="AB1152" s="56"/>
      <c r="AC1152" s="28"/>
      <c r="AD1152" s="28"/>
      <c r="AE1152" s="54"/>
      <c r="AF1152" s="54"/>
      <c r="AG1152" s="54"/>
      <c r="AH1152" s="53"/>
      <c r="AI1152" s="53" t="s">
        <v>1591</v>
      </c>
      <c r="AJ1152" s="53" t="s">
        <v>1591</v>
      </c>
    </row>
    <row r="1153" spans="1:36" s="3" customFormat="1" ht="36" x14ac:dyDescent="0.25">
      <c r="A1153" s="17" t="s">
        <v>1571</v>
      </c>
      <c r="B1153" s="18" t="s">
        <v>37</v>
      </c>
      <c r="C1153" s="19" t="s">
        <v>3101</v>
      </c>
      <c r="D1153" s="45" t="s">
        <v>3102</v>
      </c>
      <c r="E1153" s="50"/>
      <c r="F1153" s="58"/>
      <c r="G1153" s="51"/>
      <c r="H1153" s="51"/>
      <c r="I1153" s="50" t="s">
        <v>2635</v>
      </c>
      <c r="J1153" s="58" t="s">
        <v>3283</v>
      </c>
      <c r="K1153" s="52" t="s">
        <v>2900</v>
      </c>
      <c r="L1153" s="59">
        <v>42936</v>
      </c>
      <c r="M1153" s="60">
        <f t="shared" si="45"/>
        <v>43301</v>
      </c>
      <c r="N1153" s="51">
        <v>147473.91</v>
      </c>
      <c r="O1153" s="59"/>
      <c r="P1153" s="59"/>
      <c r="Q1153" s="51"/>
      <c r="R1153" s="51">
        <f t="shared" si="44"/>
        <v>147473.91</v>
      </c>
      <c r="S1153" s="51"/>
      <c r="T1153" s="52"/>
      <c r="U1153" s="51">
        <v>66805.05</v>
      </c>
      <c r="V1153" s="51"/>
      <c r="W1153" s="51"/>
      <c r="X1153" s="51">
        <v>66805.05</v>
      </c>
      <c r="Y1153" s="19" t="s">
        <v>175</v>
      </c>
      <c r="Z1153" s="19"/>
      <c r="AA1153" s="28"/>
      <c r="AB1153" s="56"/>
      <c r="AC1153" s="28"/>
      <c r="AD1153" s="28"/>
      <c r="AE1153" s="54"/>
      <c r="AF1153" s="54"/>
      <c r="AG1153" s="54"/>
      <c r="AH1153" s="53"/>
      <c r="AI1153" s="53" t="s">
        <v>1591</v>
      </c>
      <c r="AJ1153" s="53" t="s">
        <v>1591</v>
      </c>
    </row>
    <row r="1154" spans="1:36" s="3" customFormat="1" ht="48" x14ac:dyDescent="0.25">
      <c r="A1154" s="17" t="s">
        <v>1571</v>
      </c>
      <c r="B1154" s="18" t="s">
        <v>37</v>
      </c>
      <c r="C1154" s="76" t="s">
        <v>5696</v>
      </c>
      <c r="D1154" s="77" t="s">
        <v>5697</v>
      </c>
      <c r="E1154" s="78"/>
      <c r="F1154" s="79"/>
      <c r="G1154" s="80"/>
      <c r="H1154" s="80"/>
      <c r="I1154" s="78" t="s">
        <v>5698</v>
      </c>
      <c r="J1154" s="79" t="s">
        <v>5699</v>
      </c>
      <c r="K1154" s="81" t="s">
        <v>5700</v>
      </c>
      <c r="L1154" s="82">
        <v>42530</v>
      </c>
      <c r="M1154" s="83"/>
      <c r="N1154" s="80">
        <v>109260.96</v>
      </c>
      <c r="O1154" s="82"/>
      <c r="P1154" s="84"/>
      <c r="Q1154" s="80">
        <v>0</v>
      </c>
      <c r="R1154" s="80">
        <v>109260.96</v>
      </c>
      <c r="S1154" s="80"/>
      <c r="T1154" s="81"/>
      <c r="U1154" s="80"/>
      <c r="V1154" s="80"/>
      <c r="W1154" s="80"/>
      <c r="X1154" s="80"/>
      <c r="Y1154" s="76" t="s">
        <v>41</v>
      </c>
      <c r="Z1154" s="19" t="s">
        <v>7038</v>
      </c>
      <c r="AA1154" s="28"/>
      <c r="AB1154" s="56"/>
      <c r="AC1154" s="28"/>
      <c r="AD1154" s="28"/>
      <c r="AE1154" s="54"/>
      <c r="AF1154" s="54"/>
      <c r="AG1154" s="54"/>
      <c r="AH1154" s="53"/>
      <c r="AI1154" s="53" t="s">
        <v>1591</v>
      </c>
      <c r="AJ1154" s="53" t="s">
        <v>1591</v>
      </c>
    </row>
    <row r="1155" spans="1:36" s="3" customFormat="1" ht="36" x14ac:dyDescent="0.25">
      <c r="A1155" s="17" t="s">
        <v>1571</v>
      </c>
      <c r="B1155" s="18" t="s">
        <v>37</v>
      </c>
      <c r="C1155" s="19" t="s">
        <v>479</v>
      </c>
      <c r="D1155" s="45" t="s">
        <v>3099</v>
      </c>
      <c r="E1155" s="50"/>
      <c r="F1155" s="58"/>
      <c r="G1155" s="51"/>
      <c r="H1155" s="51"/>
      <c r="I1155" s="50" t="s">
        <v>1542</v>
      </c>
      <c r="J1155" s="58" t="s">
        <v>3275</v>
      </c>
      <c r="K1155" s="52" t="s">
        <v>3280</v>
      </c>
      <c r="L1155" s="59">
        <v>42594</v>
      </c>
      <c r="M1155" s="60">
        <f>L1155+120</f>
        <v>42714</v>
      </c>
      <c r="N1155" s="51">
        <v>107740.08</v>
      </c>
      <c r="O1155" s="59"/>
      <c r="P1155" s="59"/>
      <c r="Q1155" s="51"/>
      <c r="R1155" s="51">
        <f>N1155+Q1155</f>
        <v>107740.08</v>
      </c>
      <c r="S1155" s="51"/>
      <c r="T1155" s="52"/>
      <c r="U1155" s="51">
        <v>50500.83</v>
      </c>
      <c r="V1155" s="51"/>
      <c r="W1155" s="51"/>
      <c r="X1155" s="51">
        <v>50500.83</v>
      </c>
      <c r="Y1155" s="19" t="s">
        <v>175</v>
      </c>
      <c r="Z1155" s="19"/>
      <c r="AA1155" s="28"/>
      <c r="AB1155" s="56"/>
      <c r="AC1155" s="28"/>
      <c r="AD1155" s="28"/>
      <c r="AE1155" s="54"/>
      <c r="AF1155" s="54"/>
      <c r="AG1155" s="54"/>
      <c r="AH1155" s="53"/>
      <c r="AI1155" s="53" t="s">
        <v>1591</v>
      </c>
      <c r="AJ1155" s="53" t="s">
        <v>1591</v>
      </c>
    </row>
    <row r="1156" spans="1:36" s="3" customFormat="1" ht="24" x14ac:dyDescent="0.25">
      <c r="A1156" s="17" t="s">
        <v>1571</v>
      </c>
      <c r="B1156" s="18" t="s">
        <v>37</v>
      </c>
      <c r="C1156" s="19" t="s">
        <v>240</v>
      </c>
      <c r="D1156" s="45" t="s">
        <v>3097</v>
      </c>
      <c r="E1156" s="50"/>
      <c r="F1156" s="58"/>
      <c r="G1156" s="51"/>
      <c r="H1156" s="51"/>
      <c r="I1156" s="50" t="s">
        <v>532</v>
      </c>
      <c r="J1156" s="58" t="s">
        <v>3277</v>
      </c>
      <c r="K1156" s="52" t="s">
        <v>199</v>
      </c>
      <c r="L1156" s="59">
        <v>42438</v>
      </c>
      <c r="M1156" s="60">
        <f>L1156+365</f>
        <v>42803</v>
      </c>
      <c r="N1156" s="51">
        <v>92148.46</v>
      </c>
      <c r="O1156" s="59"/>
      <c r="P1156" s="59"/>
      <c r="Q1156" s="51"/>
      <c r="R1156" s="51">
        <f>N1156+Q1156</f>
        <v>92148.46</v>
      </c>
      <c r="S1156" s="51"/>
      <c r="T1156" s="52"/>
      <c r="U1156" s="51">
        <v>46054.93</v>
      </c>
      <c r="V1156" s="51"/>
      <c r="W1156" s="51"/>
      <c r="X1156" s="51">
        <v>46054.93</v>
      </c>
      <c r="Y1156" s="19" t="s">
        <v>175</v>
      </c>
      <c r="Z1156" s="19"/>
      <c r="AA1156" s="28"/>
      <c r="AB1156" s="56"/>
      <c r="AC1156" s="28"/>
      <c r="AD1156" s="28"/>
      <c r="AE1156" s="54"/>
      <c r="AF1156" s="54"/>
      <c r="AG1156" s="54"/>
      <c r="AH1156" s="53"/>
      <c r="AI1156" s="53" t="s">
        <v>1591</v>
      </c>
      <c r="AJ1156" s="53" t="s">
        <v>1591</v>
      </c>
    </row>
    <row r="1157" spans="1:36" s="3" customFormat="1" ht="36" x14ac:dyDescent="0.25">
      <c r="A1157" s="17" t="s">
        <v>1571</v>
      </c>
      <c r="B1157" s="18" t="s">
        <v>37</v>
      </c>
      <c r="C1157" s="76" t="s">
        <v>5696</v>
      </c>
      <c r="D1157" s="45" t="s">
        <v>5701</v>
      </c>
      <c r="E1157" s="78" t="s">
        <v>5702</v>
      </c>
      <c r="F1157" s="79" t="s">
        <v>5703</v>
      </c>
      <c r="G1157" s="80">
        <v>233525.12</v>
      </c>
      <c r="H1157" s="80">
        <v>0</v>
      </c>
      <c r="I1157" s="78" t="s">
        <v>1542</v>
      </c>
      <c r="J1157" s="79" t="s">
        <v>5704</v>
      </c>
      <c r="K1157" s="81" t="s">
        <v>5705</v>
      </c>
      <c r="L1157" s="82">
        <v>42072</v>
      </c>
      <c r="M1157" s="83">
        <v>42252</v>
      </c>
      <c r="N1157" s="80">
        <v>92135.19</v>
      </c>
      <c r="O1157" s="82"/>
      <c r="P1157" s="84"/>
      <c r="Q1157" s="80">
        <v>0</v>
      </c>
      <c r="R1157" s="80">
        <v>92135.19</v>
      </c>
      <c r="S1157" s="80"/>
      <c r="T1157" s="81"/>
      <c r="U1157" s="80"/>
      <c r="V1157" s="80"/>
      <c r="W1157" s="80"/>
      <c r="X1157" s="80"/>
      <c r="Y1157" s="76" t="s">
        <v>41</v>
      </c>
      <c r="Z1157" s="19" t="s">
        <v>7038</v>
      </c>
      <c r="AA1157" s="28"/>
      <c r="AB1157" s="56"/>
      <c r="AC1157" s="28"/>
      <c r="AD1157" s="28"/>
      <c r="AE1157" s="54"/>
      <c r="AF1157" s="54"/>
      <c r="AG1157" s="54"/>
      <c r="AH1157" s="53"/>
      <c r="AI1157" s="53" t="s">
        <v>1591</v>
      </c>
      <c r="AJ1157" s="53" t="s">
        <v>1591</v>
      </c>
    </row>
    <row r="1158" spans="1:36" s="3" customFormat="1" ht="24" x14ac:dyDescent="0.25">
      <c r="A1158" s="17" t="s">
        <v>1571</v>
      </c>
      <c r="B1158" s="18" t="s">
        <v>37</v>
      </c>
      <c r="C1158" s="19" t="s">
        <v>36</v>
      </c>
      <c r="D1158" s="45" t="s">
        <v>3098</v>
      </c>
      <c r="E1158" s="50"/>
      <c r="F1158" s="58"/>
      <c r="G1158" s="51"/>
      <c r="H1158" s="51"/>
      <c r="I1158" s="50" t="s">
        <v>3278</v>
      </c>
      <c r="J1158" s="58" t="s">
        <v>3279</v>
      </c>
      <c r="K1158" s="52" t="s">
        <v>336</v>
      </c>
      <c r="L1158" s="59">
        <v>42530</v>
      </c>
      <c r="M1158" s="60">
        <f>L1158+180</f>
        <v>42710</v>
      </c>
      <c r="N1158" s="51">
        <v>69920.240000000005</v>
      </c>
      <c r="O1158" s="59"/>
      <c r="P1158" s="59"/>
      <c r="Q1158" s="51"/>
      <c r="R1158" s="51">
        <f>N1158+Q1158</f>
        <v>69920.240000000005</v>
      </c>
      <c r="S1158" s="51"/>
      <c r="T1158" s="52"/>
      <c r="U1158" s="51">
        <v>17339.62</v>
      </c>
      <c r="V1158" s="51"/>
      <c r="W1158" s="51"/>
      <c r="X1158" s="51">
        <v>17339.62</v>
      </c>
      <c r="Y1158" s="19" t="s">
        <v>175</v>
      </c>
      <c r="Z1158" s="19"/>
      <c r="AA1158" s="28"/>
      <c r="AB1158" s="56"/>
      <c r="AC1158" s="28"/>
      <c r="AD1158" s="28"/>
      <c r="AE1158" s="54"/>
      <c r="AF1158" s="54"/>
      <c r="AG1158" s="54"/>
      <c r="AH1158" s="53"/>
      <c r="AI1158" s="53" t="s">
        <v>1591</v>
      </c>
      <c r="AJ1158" s="53" t="s">
        <v>1591</v>
      </c>
    </row>
    <row r="1159" spans="1:36" s="3" customFormat="1" ht="24" x14ac:dyDescent="0.25">
      <c r="A1159" s="17" t="s">
        <v>1571</v>
      </c>
      <c r="B1159" s="18" t="s">
        <v>37</v>
      </c>
      <c r="C1159" s="19" t="s">
        <v>116</v>
      </c>
      <c r="D1159" s="45" t="s">
        <v>3100</v>
      </c>
      <c r="E1159" s="50"/>
      <c r="F1159" s="58"/>
      <c r="G1159" s="51"/>
      <c r="H1159" s="51"/>
      <c r="I1159" s="50" t="s">
        <v>3281</v>
      </c>
      <c r="J1159" s="58" t="s">
        <v>3282</v>
      </c>
      <c r="K1159" s="52" t="s">
        <v>339</v>
      </c>
      <c r="L1159" s="59">
        <v>42564</v>
      </c>
      <c r="M1159" s="60">
        <f>L1159+180</f>
        <v>42744</v>
      </c>
      <c r="N1159" s="51">
        <v>66335.210000000006</v>
      </c>
      <c r="O1159" s="59"/>
      <c r="P1159" s="59"/>
      <c r="Q1159" s="51"/>
      <c r="R1159" s="51">
        <f>N1159+Q1159</f>
        <v>66335.210000000006</v>
      </c>
      <c r="S1159" s="51"/>
      <c r="T1159" s="52"/>
      <c r="U1159" s="51">
        <v>46434.64</v>
      </c>
      <c r="V1159" s="51"/>
      <c r="W1159" s="51"/>
      <c r="X1159" s="51">
        <v>46434.64</v>
      </c>
      <c r="Y1159" s="19" t="s">
        <v>175</v>
      </c>
      <c r="Z1159" s="19"/>
      <c r="AA1159" s="28"/>
      <c r="AB1159" s="56"/>
      <c r="AC1159" s="28"/>
      <c r="AD1159" s="28"/>
      <c r="AE1159" s="54"/>
      <c r="AF1159" s="54"/>
      <c r="AG1159" s="54"/>
      <c r="AH1159" s="53"/>
      <c r="AI1159" s="53" t="s">
        <v>1591</v>
      </c>
      <c r="AJ1159" s="53" t="s">
        <v>1591</v>
      </c>
    </row>
    <row r="1160" spans="1:36" s="3" customFormat="1" ht="36" x14ac:dyDescent="0.25">
      <c r="A1160" s="17" t="s">
        <v>1571</v>
      </c>
      <c r="B1160" s="18" t="s">
        <v>37</v>
      </c>
      <c r="C1160" s="76" t="s">
        <v>5696</v>
      </c>
      <c r="D1160" s="45" t="s">
        <v>5706</v>
      </c>
      <c r="E1160" s="78"/>
      <c r="F1160" s="79"/>
      <c r="G1160" s="80"/>
      <c r="H1160" s="80"/>
      <c r="I1160" s="78"/>
      <c r="J1160" s="79"/>
      <c r="K1160" s="81"/>
      <c r="L1160" s="82"/>
      <c r="M1160" s="83"/>
      <c r="N1160" s="80"/>
      <c r="O1160" s="82"/>
      <c r="P1160" s="84"/>
      <c r="Q1160" s="80">
        <v>0</v>
      </c>
      <c r="R1160" s="80"/>
      <c r="S1160" s="80"/>
      <c r="T1160" s="81"/>
      <c r="U1160" s="80"/>
      <c r="V1160" s="80"/>
      <c r="W1160" s="80"/>
      <c r="X1160" s="80"/>
      <c r="Y1160" s="76" t="s">
        <v>4709</v>
      </c>
      <c r="Z1160" s="19" t="s">
        <v>7038</v>
      </c>
      <c r="AA1160" s="28"/>
      <c r="AB1160" s="56"/>
      <c r="AC1160" s="28"/>
      <c r="AD1160" s="28"/>
      <c r="AE1160" s="54"/>
      <c r="AF1160" s="54"/>
      <c r="AG1160" s="54"/>
      <c r="AH1160" s="53"/>
      <c r="AI1160" s="53" t="s">
        <v>1591</v>
      </c>
      <c r="AJ1160" s="53" t="s">
        <v>1591</v>
      </c>
    </row>
    <row r="1161" spans="1:36" s="3" customFormat="1" ht="36" x14ac:dyDescent="0.25">
      <c r="A1161" s="17" t="s">
        <v>1572</v>
      </c>
      <c r="B1161" s="18" t="s">
        <v>37</v>
      </c>
      <c r="C1161" s="76" t="s">
        <v>5712</v>
      </c>
      <c r="D1161" s="45" t="s">
        <v>5713</v>
      </c>
      <c r="E1161" s="78" t="s">
        <v>49</v>
      </c>
      <c r="F1161" s="79" t="s">
        <v>5714</v>
      </c>
      <c r="G1161" s="80">
        <v>1547005.09</v>
      </c>
      <c r="H1161" s="80">
        <v>339452.38</v>
      </c>
      <c r="I1161" s="78" t="s">
        <v>627</v>
      </c>
      <c r="J1161" s="79" t="s">
        <v>5715</v>
      </c>
      <c r="K1161" s="81" t="s">
        <v>5716</v>
      </c>
      <c r="L1161" s="82">
        <v>41624</v>
      </c>
      <c r="M1161" s="83">
        <v>41804</v>
      </c>
      <c r="N1161" s="80">
        <v>1848655.09</v>
      </c>
      <c r="O1161" s="82">
        <v>41997</v>
      </c>
      <c r="P1161" s="84" t="s">
        <v>1573</v>
      </c>
      <c r="Q1161" s="80">
        <v>120965.83000000007</v>
      </c>
      <c r="R1161" s="80">
        <v>1969620.9200000002</v>
      </c>
      <c r="S1161" s="80"/>
      <c r="T1161" s="81" t="s">
        <v>579</v>
      </c>
      <c r="U1161" s="80"/>
      <c r="V1161" s="80"/>
      <c r="W1161" s="80"/>
      <c r="X1161" s="80">
        <v>1657902.64</v>
      </c>
      <c r="Y1161" s="76" t="s">
        <v>33</v>
      </c>
      <c r="Z1161" s="19" t="s">
        <v>7038</v>
      </c>
      <c r="AA1161" s="28"/>
      <c r="AB1161" s="56"/>
      <c r="AC1161" s="28"/>
      <c r="AD1161" s="28"/>
      <c r="AE1161" s="54"/>
      <c r="AF1161" s="54"/>
      <c r="AG1161" s="54"/>
      <c r="AH1161" s="53"/>
      <c r="AI1161" s="53" t="s">
        <v>1591</v>
      </c>
      <c r="AJ1161" s="53" t="s">
        <v>1591</v>
      </c>
    </row>
    <row r="1162" spans="1:36" s="3" customFormat="1" ht="48" x14ac:dyDescent="0.25">
      <c r="A1162" s="17" t="s">
        <v>1572</v>
      </c>
      <c r="B1162" s="18" t="s">
        <v>37</v>
      </c>
      <c r="C1162" s="76" t="s">
        <v>5719</v>
      </c>
      <c r="D1162" s="45" t="s">
        <v>5720</v>
      </c>
      <c r="E1162" s="78" t="s">
        <v>581</v>
      </c>
      <c r="F1162" s="79" t="s">
        <v>5721</v>
      </c>
      <c r="G1162" s="80">
        <v>1283835</v>
      </c>
      <c r="H1162" s="80">
        <v>67465</v>
      </c>
      <c r="I1162" s="78" t="s">
        <v>1577</v>
      </c>
      <c r="J1162" s="79" t="s">
        <v>5722</v>
      </c>
      <c r="K1162" s="81" t="s">
        <v>5096</v>
      </c>
      <c r="L1162" s="82">
        <v>41820</v>
      </c>
      <c r="M1162" s="83">
        <v>42000</v>
      </c>
      <c r="N1162" s="80">
        <v>1339891.8</v>
      </c>
      <c r="O1162" s="82">
        <v>41971</v>
      </c>
      <c r="P1162" s="84" t="s">
        <v>5723</v>
      </c>
      <c r="Q1162" s="80">
        <v>0</v>
      </c>
      <c r="R1162" s="80">
        <v>1339891.8</v>
      </c>
      <c r="S1162" s="80"/>
      <c r="T1162" s="81" t="s">
        <v>45</v>
      </c>
      <c r="U1162" s="80"/>
      <c r="V1162" s="80"/>
      <c r="W1162" s="80"/>
      <c r="X1162" s="80">
        <v>720596.42</v>
      </c>
      <c r="Y1162" s="76" t="s">
        <v>212</v>
      </c>
      <c r="Z1162" s="19" t="s">
        <v>7038</v>
      </c>
      <c r="AA1162" s="28"/>
      <c r="AB1162" s="56"/>
      <c r="AC1162" s="28"/>
      <c r="AD1162" s="28"/>
      <c r="AE1162" s="54"/>
      <c r="AF1162" s="54"/>
      <c r="AG1162" s="54"/>
      <c r="AH1162" s="53"/>
      <c r="AI1162" s="53" t="s">
        <v>1591</v>
      </c>
      <c r="AJ1162" s="53" t="s">
        <v>1591</v>
      </c>
    </row>
    <row r="1163" spans="1:36" s="3" customFormat="1" ht="48" x14ac:dyDescent="0.25">
      <c r="A1163" s="17" t="s">
        <v>1572</v>
      </c>
      <c r="B1163" s="18" t="s">
        <v>37</v>
      </c>
      <c r="C1163" s="76" t="s">
        <v>5724</v>
      </c>
      <c r="D1163" s="45" t="s">
        <v>5725</v>
      </c>
      <c r="E1163" s="78" t="s">
        <v>436</v>
      </c>
      <c r="F1163" s="79" t="s">
        <v>5726</v>
      </c>
      <c r="G1163" s="80">
        <v>700401.99</v>
      </c>
      <c r="H1163" s="80">
        <v>478010.32</v>
      </c>
      <c r="I1163" s="78" t="s">
        <v>627</v>
      </c>
      <c r="J1163" s="79" t="s">
        <v>5715</v>
      </c>
      <c r="K1163" s="81" t="s">
        <v>5727</v>
      </c>
      <c r="L1163" s="82">
        <v>41914</v>
      </c>
      <c r="M1163" s="83">
        <v>42154</v>
      </c>
      <c r="N1163" s="80">
        <v>1145191.1100000001</v>
      </c>
      <c r="O1163" s="82" t="s">
        <v>212</v>
      </c>
      <c r="P1163" s="84" t="s">
        <v>5711</v>
      </c>
      <c r="Q1163" s="80">
        <v>0</v>
      </c>
      <c r="R1163" s="80">
        <v>1145191.1100000001</v>
      </c>
      <c r="S1163" s="80"/>
      <c r="T1163" s="81" t="s">
        <v>45</v>
      </c>
      <c r="U1163" s="80"/>
      <c r="V1163" s="80"/>
      <c r="W1163" s="80"/>
      <c r="X1163" s="80">
        <v>427671.13</v>
      </c>
      <c r="Y1163" s="76" t="s">
        <v>212</v>
      </c>
      <c r="Z1163" s="19" t="s">
        <v>7038</v>
      </c>
      <c r="AA1163" s="28"/>
      <c r="AB1163" s="56"/>
      <c r="AC1163" s="28"/>
      <c r="AD1163" s="28"/>
      <c r="AE1163" s="54"/>
      <c r="AF1163" s="54"/>
      <c r="AG1163" s="54"/>
      <c r="AH1163" s="53"/>
      <c r="AI1163" s="53" t="s">
        <v>1591</v>
      </c>
      <c r="AJ1163" s="53" t="s">
        <v>1591</v>
      </c>
    </row>
    <row r="1164" spans="1:36" s="3" customFormat="1" ht="60" x14ac:dyDescent="0.25">
      <c r="A1164" s="17" t="s">
        <v>1572</v>
      </c>
      <c r="B1164" s="18" t="s">
        <v>37</v>
      </c>
      <c r="C1164" s="76" t="s">
        <v>5728</v>
      </c>
      <c r="D1164" s="45" t="s">
        <v>5729</v>
      </c>
      <c r="E1164" s="78" t="s">
        <v>5502</v>
      </c>
      <c r="F1164" s="79" t="s">
        <v>1578</v>
      </c>
      <c r="G1164" s="80">
        <v>1046204.56</v>
      </c>
      <c r="H1164" s="80">
        <v>55063.4</v>
      </c>
      <c r="I1164" s="78" t="s">
        <v>1576</v>
      </c>
      <c r="J1164" s="79" t="s">
        <v>5730</v>
      </c>
      <c r="K1164" s="81" t="s">
        <v>219</v>
      </c>
      <c r="L1164" s="82">
        <v>42011</v>
      </c>
      <c r="M1164" s="83">
        <v>42131</v>
      </c>
      <c r="N1164" s="80">
        <v>1072714</v>
      </c>
      <c r="O1164" s="82">
        <v>42129</v>
      </c>
      <c r="P1164" s="84" t="s">
        <v>1573</v>
      </c>
      <c r="Q1164" s="80">
        <v>0</v>
      </c>
      <c r="R1164" s="80">
        <v>1072714</v>
      </c>
      <c r="S1164" s="80"/>
      <c r="T1164" s="81" t="s">
        <v>45</v>
      </c>
      <c r="U1164" s="80"/>
      <c r="V1164" s="80"/>
      <c r="W1164" s="80"/>
      <c r="X1164" s="80">
        <v>572697.81000000006</v>
      </c>
      <c r="Y1164" s="76" t="s">
        <v>186</v>
      </c>
      <c r="Z1164" s="19" t="s">
        <v>7038</v>
      </c>
      <c r="AA1164" s="28"/>
      <c r="AB1164" s="56"/>
      <c r="AC1164" s="28"/>
      <c r="AD1164" s="28"/>
      <c r="AE1164" s="54"/>
      <c r="AF1164" s="54"/>
      <c r="AG1164" s="54"/>
      <c r="AH1164" s="53"/>
      <c r="AI1164" s="53" t="s">
        <v>1591</v>
      </c>
      <c r="AJ1164" s="53" t="s">
        <v>1591</v>
      </c>
    </row>
    <row r="1165" spans="1:36" s="3" customFormat="1" ht="36" x14ac:dyDescent="0.25">
      <c r="A1165" s="17" t="s">
        <v>1572</v>
      </c>
      <c r="B1165" s="18" t="s">
        <v>37</v>
      </c>
      <c r="C1165" s="76" t="s">
        <v>5731</v>
      </c>
      <c r="D1165" s="45" t="s">
        <v>5732</v>
      </c>
      <c r="E1165" s="78"/>
      <c r="F1165" s="79" t="s">
        <v>1582</v>
      </c>
      <c r="G1165" s="80"/>
      <c r="H1165" s="80"/>
      <c r="I1165" s="78" t="s">
        <v>1575</v>
      </c>
      <c r="J1165" s="79" t="s">
        <v>5717</v>
      </c>
      <c r="K1165" s="81" t="s">
        <v>213</v>
      </c>
      <c r="L1165" s="82">
        <v>42552</v>
      </c>
      <c r="M1165" s="83"/>
      <c r="N1165" s="80">
        <v>688698.55</v>
      </c>
      <c r="O1165" s="82" t="s">
        <v>212</v>
      </c>
      <c r="P1165" s="84" t="s">
        <v>5718</v>
      </c>
      <c r="Q1165" s="80">
        <v>0</v>
      </c>
      <c r="R1165" s="80">
        <v>688698.55</v>
      </c>
      <c r="S1165" s="80"/>
      <c r="T1165" s="81" t="s">
        <v>4608</v>
      </c>
      <c r="U1165" s="80">
        <v>93804.35</v>
      </c>
      <c r="V1165" s="80"/>
      <c r="W1165" s="80"/>
      <c r="X1165" s="80">
        <v>93804.35</v>
      </c>
      <c r="Y1165" s="76" t="s">
        <v>212</v>
      </c>
      <c r="Z1165" s="19" t="s">
        <v>7038</v>
      </c>
      <c r="AA1165" s="28"/>
      <c r="AB1165" s="56"/>
      <c r="AC1165" s="28"/>
      <c r="AD1165" s="28"/>
      <c r="AE1165" s="54"/>
      <c r="AF1165" s="54"/>
      <c r="AG1165" s="54"/>
      <c r="AH1165" s="53"/>
      <c r="AI1165" s="53" t="s">
        <v>1591</v>
      </c>
      <c r="AJ1165" s="53" t="s">
        <v>1591</v>
      </c>
    </row>
    <row r="1166" spans="1:36" s="3" customFormat="1" ht="60" x14ac:dyDescent="0.25">
      <c r="A1166" s="17" t="s">
        <v>1572</v>
      </c>
      <c r="B1166" s="18" t="s">
        <v>37</v>
      </c>
      <c r="C1166" s="76" t="s">
        <v>5733</v>
      </c>
      <c r="D1166" s="45" t="s">
        <v>5734</v>
      </c>
      <c r="E1166" s="78"/>
      <c r="F1166" s="79" t="s">
        <v>5707</v>
      </c>
      <c r="G1166" s="80"/>
      <c r="H1166" s="80"/>
      <c r="I1166" s="78" t="s">
        <v>1574</v>
      </c>
      <c r="J1166" s="79" t="s">
        <v>5735</v>
      </c>
      <c r="K1166" s="81" t="s">
        <v>5736</v>
      </c>
      <c r="L1166" s="82">
        <v>41624</v>
      </c>
      <c r="M1166" s="83">
        <v>41744</v>
      </c>
      <c r="N1166" s="80">
        <v>491606.79</v>
      </c>
      <c r="O1166" s="82">
        <v>41912</v>
      </c>
      <c r="P1166" s="84" t="s">
        <v>5723</v>
      </c>
      <c r="Q1166" s="80">
        <v>0</v>
      </c>
      <c r="R1166" s="80">
        <v>491606.79</v>
      </c>
      <c r="S1166" s="80"/>
      <c r="T1166" s="81" t="s">
        <v>52</v>
      </c>
      <c r="U1166" s="80"/>
      <c r="V1166" s="80"/>
      <c r="W1166" s="80"/>
      <c r="X1166" s="80">
        <v>271103.53999999998</v>
      </c>
      <c r="Y1166" s="76" t="s">
        <v>5737</v>
      </c>
      <c r="Z1166" s="19" t="s">
        <v>7038</v>
      </c>
      <c r="AA1166" s="28"/>
      <c r="AB1166" s="56"/>
      <c r="AC1166" s="28"/>
      <c r="AD1166" s="28"/>
      <c r="AE1166" s="54"/>
      <c r="AF1166" s="54"/>
      <c r="AG1166" s="54"/>
      <c r="AH1166" s="53"/>
      <c r="AI1166" s="53" t="s">
        <v>1591</v>
      </c>
      <c r="AJ1166" s="53" t="s">
        <v>1591</v>
      </c>
    </row>
    <row r="1167" spans="1:36" s="3" customFormat="1" ht="36" x14ac:dyDescent="0.25">
      <c r="A1167" s="17" t="s">
        <v>1572</v>
      </c>
      <c r="B1167" s="18" t="s">
        <v>37</v>
      </c>
      <c r="C1167" s="76" t="s">
        <v>5738</v>
      </c>
      <c r="D1167" s="45" t="s">
        <v>5739</v>
      </c>
      <c r="E1167" s="78"/>
      <c r="F1167" s="79" t="s">
        <v>5740</v>
      </c>
      <c r="G1167" s="80"/>
      <c r="H1167" s="80"/>
      <c r="I1167" s="78" t="s">
        <v>1579</v>
      </c>
      <c r="J1167" s="79" t="s">
        <v>1580</v>
      </c>
      <c r="K1167" s="81" t="s">
        <v>180</v>
      </c>
      <c r="L1167" s="82"/>
      <c r="M1167" s="83"/>
      <c r="N1167" s="80">
        <v>395017.39</v>
      </c>
      <c r="O1167" s="82" t="s">
        <v>5741</v>
      </c>
      <c r="P1167" s="84" t="s">
        <v>5718</v>
      </c>
      <c r="Q1167" s="80">
        <v>0</v>
      </c>
      <c r="R1167" s="80">
        <v>395017.39</v>
      </c>
      <c r="S1167" s="80"/>
      <c r="T1167" s="81" t="s">
        <v>52</v>
      </c>
      <c r="U1167" s="80"/>
      <c r="V1167" s="80"/>
      <c r="W1167" s="80"/>
      <c r="X1167" s="80"/>
      <c r="Y1167" s="76" t="s">
        <v>5741</v>
      </c>
      <c r="Z1167" s="19" t="s">
        <v>7038</v>
      </c>
      <c r="AA1167" s="28"/>
      <c r="AB1167" s="56"/>
      <c r="AC1167" s="28"/>
      <c r="AD1167" s="28"/>
      <c r="AE1167" s="54"/>
      <c r="AF1167" s="54"/>
      <c r="AG1167" s="54"/>
      <c r="AH1167" s="53"/>
      <c r="AI1167" s="53" t="s">
        <v>1591</v>
      </c>
      <c r="AJ1167" s="53" t="s">
        <v>1591</v>
      </c>
    </row>
    <row r="1168" spans="1:36" s="3" customFormat="1" ht="48" x14ac:dyDescent="0.25">
      <c r="A1168" s="17" t="s">
        <v>1572</v>
      </c>
      <c r="B1168" s="18" t="s">
        <v>37</v>
      </c>
      <c r="C1168" s="76" t="s">
        <v>5742</v>
      </c>
      <c r="D1168" s="45" t="s">
        <v>5743</v>
      </c>
      <c r="E1168" s="78"/>
      <c r="F1168" s="79" t="s">
        <v>661</v>
      </c>
      <c r="G1168" s="80">
        <v>394024.15</v>
      </c>
      <c r="H1168" s="80">
        <v>0</v>
      </c>
      <c r="I1168" s="78" t="s">
        <v>5744</v>
      </c>
      <c r="J1168" s="79" t="s">
        <v>5730</v>
      </c>
      <c r="K1168" s="81" t="s">
        <v>571</v>
      </c>
      <c r="L1168" s="82">
        <v>42025</v>
      </c>
      <c r="M1168" s="83">
        <v>42205</v>
      </c>
      <c r="N1168" s="80">
        <v>388879.34</v>
      </c>
      <c r="O1168" s="82" t="s">
        <v>212</v>
      </c>
      <c r="P1168" s="84" t="s">
        <v>5718</v>
      </c>
      <c r="Q1168" s="80">
        <v>0</v>
      </c>
      <c r="R1168" s="80">
        <v>388879.34</v>
      </c>
      <c r="S1168" s="80"/>
      <c r="T1168" s="81" t="s">
        <v>45</v>
      </c>
      <c r="U1168" s="80">
        <v>162695.4</v>
      </c>
      <c r="V1168" s="80"/>
      <c r="W1168" s="80"/>
      <c r="X1168" s="80">
        <v>162695.4</v>
      </c>
      <c r="Y1168" s="76" t="s">
        <v>212</v>
      </c>
      <c r="Z1168" s="19" t="s">
        <v>7038</v>
      </c>
      <c r="AA1168" s="28"/>
      <c r="AB1168" s="56"/>
      <c r="AC1168" s="28"/>
      <c r="AD1168" s="28"/>
      <c r="AE1168" s="54"/>
      <c r="AF1168" s="54"/>
      <c r="AG1168" s="54"/>
      <c r="AH1168" s="53"/>
      <c r="AI1168" s="53" t="s">
        <v>1591</v>
      </c>
      <c r="AJ1168" s="53" t="s">
        <v>1591</v>
      </c>
    </row>
    <row r="1169" spans="1:36" s="3" customFormat="1" ht="36" x14ac:dyDescent="0.25">
      <c r="A1169" s="17" t="s">
        <v>1572</v>
      </c>
      <c r="B1169" s="18" t="s">
        <v>37</v>
      </c>
      <c r="C1169" s="76" t="s">
        <v>5745</v>
      </c>
      <c r="D1169" s="45" t="s">
        <v>5746</v>
      </c>
      <c r="E1169" s="78"/>
      <c r="F1169" s="79" t="s">
        <v>5707</v>
      </c>
      <c r="G1169" s="80"/>
      <c r="H1169" s="80"/>
      <c r="I1169" s="78" t="s">
        <v>1575</v>
      </c>
      <c r="J1169" s="79" t="s">
        <v>5717</v>
      </c>
      <c r="K1169" s="81" t="s">
        <v>5747</v>
      </c>
      <c r="L1169" s="82">
        <v>41656</v>
      </c>
      <c r="M1169" s="83">
        <v>41776</v>
      </c>
      <c r="N1169" s="80">
        <v>317914.58</v>
      </c>
      <c r="O1169" s="82" t="s">
        <v>1158</v>
      </c>
      <c r="P1169" s="84" t="s">
        <v>5723</v>
      </c>
      <c r="Q1169" s="80">
        <v>0</v>
      </c>
      <c r="R1169" s="80">
        <v>317914.58</v>
      </c>
      <c r="S1169" s="80"/>
      <c r="T1169" s="81" t="s">
        <v>52</v>
      </c>
      <c r="U1169" s="80"/>
      <c r="V1169" s="80"/>
      <c r="W1169" s="80"/>
      <c r="X1169" s="80">
        <v>15484.5</v>
      </c>
      <c r="Y1169" s="76" t="s">
        <v>212</v>
      </c>
      <c r="Z1169" s="19" t="s">
        <v>7038</v>
      </c>
      <c r="AA1169" s="28"/>
      <c r="AB1169" s="56"/>
      <c r="AC1169" s="28"/>
      <c r="AD1169" s="28"/>
      <c r="AE1169" s="54"/>
      <c r="AF1169" s="54"/>
      <c r="AG1169" s="54"/>
      <c r="AH1169" s="53"/>
      <c r="AI1169" s="53" t="s">
        <v>1591</v>
      </c>
      <c r="AJ1169" s="53" t="s">
        <v>1591</v>
      </c>
    </row>
    <row r="1170" spans="1:36" s="3" customFormat="1" ht="36" x14ac:dyDescent="0.25">
      <c r="A1170" s="17" t="s">
        <v>1572</v>
      </c>
      <c r="B1170" s="18" t="s">
        <v>37</v>
      </c>
      <c r="C1170" s="76" t="s">
        <v>5748</v>
      </c>
      <c r="D1170" s="45" t="s">
        <v>5749</v>
      </c>
      <c r="E1170" s="78"/>
      <c r="F1170" s="79" t="s">
        <v>661</v>
      </c>
      <c r="G1170" s="80"/>
      <c r="H1170" s="80"/>
      <c r="I1170" s="78" t="s">
        <v>1579</v>
      </c>
      <c r="J1170" s="79" t="s">
        <v>1580</v>
      </c>
      <c r="K1170" s="81" t="s">
        <v>180</v>
      </c>
      <c r="L1170" s="82"/>
      <c r="M1170" s="83"/>
      <c r="N1170" s="80">
        <v>242017.42</v>
      </c>
      <c r="O1170" s="82" t="s">
        <v>5741</v>
      </c>
      <c r="P1170" s="84" t="s">
        <v>5718</v>
      </c>
      <c r="Q1170" s="80">
        <v>0</v>
      </c>
      <c r="R1170" s="80">
        <v>242017.42</v>
      </c>
      <c r="S1170" s="80"/>
      <c r="T1170" s="81" t="s">
        <v>52</v>
      </c>
      <c r="U1170" s="80"/>
      <c r="V1170" s="80"/>
      <c r="W1170" s="80"/>
      <c r="X1170" s="80"/>
      <c r="Y1170" s="76" t="s">
        <v>5741</v>
      </c>
      <c r="Z1170" s="19" t="s">
        <v>7038</v>
      </c>
      <c r="AA1170" s="28"/>
      <c r="AB1170" s="56"/>
      <c r="AC1170" s="28"/>
      <c r="AD1170" s="28"/>
      <c r="AE1170" s="54"/>
      <c r="AF1170" s="54"/>
      <c r="AG1170" s="54"/>
      <c r="AH1170" s="53"/>
      <c r="AI1170" s="53" t="s">
        <v>1591</v>
      </c>
      <c r="AJ1170" s="53" t="s">
        <v>1591</v>
      </c>
    </row>
    <row r="1171" spans="1:36" s="3" customFormat="1" ht="36" x14ac:dyDescent="0.25">
      <c r="A1171" s="17" t="s">
        <v>1572</v>
      </c>
      <c r="B1171" s="18" t="s">
        <v>37</v>
      </c>
      <c r="C1171" s="76" t="s">
        <v>5750</v>
      </c>
      <c r="D1171" s="45" t="s">
        <v>5751</v>
      </c>
      <c r="E1171" s="78"/>
      <c r="F1171" s="79" t="s">
        <v>5740</v>
      </c>
      <c r="G1171" s="80"/>
      <c r="H1171" s="80"/>
      <c r="I1171" s="78" t="s">
        <v>5752</v>
      </c>
      <c r="J1171" s="79" t="s">
        <v>5753</v>
      </c>
      <c r="K1171" s="81" t="s">
        <v>184</v>
      </c>
      <c r="L1171" s="82">
        <v>42192</v>
      </c>
      <c r="M1171" s="83">
        <v>42282</v>
      </c>
      <c r="N1171" s="80">
        <v>139807.37</v>
      </c>
      <c r="O1171" s="82" t="s">
        <v>1042</v>
      </c>
      <c r="P1171" s="84" t="s">
        <v>5711</v>
      </c>
      <c r="Q1171" s="80">
        <v>0</v>
      </c>
      <c r="R1171" s="80">
        <v>139807.37</v>
      </c>
      <c r="S1171" s="80"/>
      <c r="T1171" s="81" t="s">
        <v>52</v>
      </c>
      <c r="U1171" s="80"/>
      <c r="V1171" s="80"/>
      <c r="W1171" s="80"/>
      <c r="X1171" s="80">
        <v>82005.03</v>
      </c>
      <c r="Y1171" s="76" t="s">
        <v>330</v>
      </c>
      <c r="Z1171" s="19" t="s">
        <v>7038</v>
      </c>
      <c r="AA1171" s="28"/>
      <c r="AB1171" s="56"/>
      <c r="AC1171" s="28"/>
      <c r="AD1171" s="28"/>
      <c r="AE1171" s="54"/>
      <c r="AF1171" s="54"/>
      <c r="AG1171" s="54"/>
      <c r="AH1171" s="53"/>
      <c r="AI1171" s="53" t="s">
        <v>1591</v>
      </c>
      <c r="AJ1171" s="53" t="s">
        <v>1591</v>
      </c>
    </row>
    <row r="1172" spans="1:36" s="3" customFormat="1" ht="60" x14ac:dyDescent="0.25">
      <c r="A1172" s="17" t="s">
        <v>1572</v>
      </c>
      <c r="B1172" s="18" t="s">
        <v>37</v>
      </c>
      <c r="C1172" s="76" t="s">
        <v>5754</v>
      </c>
      <c r="D1172" s="45" t="s">
        <v>5755</v>
      </c>
      <c r="E1172" s="78"/>
      <c r="F1172" s="79" t="s">
        <v>5740</v>
      </c>
      <c r="G1172" s="80"/>
      <c r="H1172" s="80"/>
      <c r="I1172" s="78" t="s">
        <v>5756</v>
      </c>
      <c r="J1172" s="79" t="s">
        <v>5757</v>
      </c>
      <c r="K1172" s="81" t="s">
        <v>4925</v>
      </c>
      <c r="L1172" s="82">
        <v>42041</v>
      </c>
      <c r="M1172" s="83">
        <v>42131</v>
      </c>
      <c r="N1172" s="80">
        <v>126906.25</v>
      </c>
      <c r="O1172" s="82" t="s">
        <v>212</v>
      </c>
      <c r="P1172" s="84" t="s">
        <v>5711</v>
      </c>
      <c r="Q1172" s="80">
        <v>0</v>
      </c>
      <c r="R1172" s="80">
        <v>126906.25</v>
      </c>
      <c r="S1172" s="80"/>
      <c r="T1172" s="81" t="s">
        <v>52</v>
      </c>
      <c r="U1172" s="80"/>
      <c r="V1172" s="80"/>
      <c r="W1172" s="80"/>
      <c r="X1172" s="80">
        <v>82144.570000000007</v>
      </c>
      <c r="Y1172" s="76" t="s">
        <v>212</v>
      </c>
      <c r="Z1172" s="19" t="s">
        <v>7038</v>
      </c>
      <c r="AA1172" s="28"/>
      <c r="AB1172" s="56"/>
      <c r="AC1172" s="28"/>
      <c r="AD1172" s="28"/>
      <c r="AE1172" s="54"/>
      <c r="AF1172" s="54"/>
      <c r="AG1172" s="54"/>
      <c r="AH1172" s="53"/>
      <c r="AI1172" s="53" t="s">
        <v>1591</v>
      </c>
      <c r="AJ1172" s="53" t="s">
        <v>1591</v>
      </c>
    </row>
    <row r="1173" spans="1:36" s="3" customFormat="1" ht="36" x14ac:dyDescent="0.25">
      <c r="A1173" s="17" t="s">
        <v>1572</v>
      </c>
      <c r="B1173" s="18" t="s">
        <v>37</v>
      </c>
      <c r="C1173" s="76" t="s">
        <v>5758</v>
      </c>
      <c r="D1173" s="45" t="s">
        <v>5759</v>
      </c>
      <c r="E1173" s="78"/>
      <c r="F1173" s="79" t="s">
        <v>5707</v>
      </c>
      <c r="G1173" s="80"/>
      <c r="H1173" s="80"/>
      <c r="I1173" s="78" t="s">
        <v>5708</v>
      </c>
      <c r="J1173" s="79" t="s">
        <v>5709</v>
      </c>
      <c r="K1173" s="81" t="s">
        <v>1242</v>
      </c>
      <c r="L1173" s="82">
        <v>41766</v>
      </c>
      <c r="M1173" s="83">
        <v>41886</v>
      </c>
      <c r="N1173" s="80">
        <v>110483.32</v>
      </c>
      <c r="O1173" s="82" t="s">
        <v>212</v>
      </c>
      <c r="P1173" s="84" t="s">
        <v>5711</v>
      </c>
      <c r="Q1173" s="80">
        <v>0</v>
      </c>
      <c r="R1173" s="80">
        <v>110483.32</v>
      </c>
      <c r="S1173" s="80"/>
      <c r="T1173" s="81" t="s">
        <v>52</v>
      </c>
      <c r="U1173" s="80"/>
      <c r="V1173" s="80"/>
      <c r="W1173" s="80"/>
      <c r="X1173" s="80"/>
      <c r="Y1173" s="76" t="s">
        <v>212</v>
      </c>
      <c r="Z1173" s="19" t="s">
        <v>7038</v>
      </c>
      <c r="AA1173" s="28"/>
      <c r="AB1173" s="56"/>
      <c r="AC1173" s="28"/>
      <c r="AD1173" s="28"/>
      <c r="AE1173" s="54"/>
      <c r="AF1173" s="54"/>
      <c r="AG1173" s="54"/>
      <c r="AH1173" s="53"/>
      <c r="AI1173" s="53" t="s">
        <v>1591</v>
      </c>
      <c r="AJ1173" s="53" t="s">
        <v>1591</v>
      </c>
    </row>
    <row r="1174" spans="1:36" s="3" customFormat="1" ht="36" x14ac:dyDescent="0.25">
      <c r="A1174" s="17" t="s">
        <v>1572</v>
      </c>
      <c r="B1174" s="18" t="s">
        <v>37</v>
      </c>
      <c r="C1174" s="76" t="s">
        <v>5760</v>
      </c>
      <c r="D1174" s="45" t="s">
        <v>5761</v>
      </c>
      <c r="E1174" s="78"/>
      <c r="F1174" s="79" t="s">
        <v>5740</v>
      </c>
      <c r="G1174" s="80"/>
      <c r="H1174" s="80"/>
      <c r="I1174" s="78" t="s">
        <v>1577</v>
      </c>
      <c r="J1174" s="79" t="s">
        <v>1313</v>
      </c>
      <c r="K1174" s="81" t="s">
        <v>1102</v>
      </c>
      <c r="L1174" s="82">
        <v>42117</v>
      </c>
      <c r="M1174" s="83">
        <v>42207</v>
      </c>
      <c r="N1174" s="80">
        <v>101281.71</v>
      </c>
      <c r="O1174" s="82" t="s">
        <v>5741</v>
      </c>
      <c r="P1174" s="84" t="s">
        <v>5711</v>
      </c>
      <c r="Q1174" s="80">
        <v>0</v>
      </c>
      <c r="R1174" s="80">
        <v>101281.71</v>
      </c>
      <c r="S1174" s="80"/>
      <c r="T1174" s="81" t="s">
        <v>52</v>
      </c>
      <c r="U1174" s="80"/>
      <c r="V1174" s="80"/>
      <c r="W1174" s="80"/>
      <c r="X1174" s="80"/>
      <c r="Y1174" s="76" t="s">
        <v>849</v>
      </c>
      <c r="Z1174" s="19" t="s">
        <v>7038</v>
      </c>
      <c r="AA1174" s="28"/>
      <c r="AB1174" s="56"/>
      <c r="AC1174" s="28"/>
      <c r="AD1174" s="28"/>
      <c r="AE1174" s="54"/>
      <c r="AF1174" s="54"/>
      <c r="AG1174" s="54"/>
      <c r="AH1174" s="53"/>
      <c r="AI1174" s="53" t="s">
        <v>1591</v>
      </c>
      <c r="AJ1174" s="53" t="s">
        <v>1591</v>
      </c>
    </row>
    <row r="1175" spans="1:36" s="3" customFormat="1" ht="60" x14ac:dyDescent="0.25">
      <c r="A1175" s="17" t="s">
        <v>1583</v>
      </c>
      <c r="B1175" s="18" t="s">
        <v>37</v>
      </c>
      <c r="C1175" s="76" t="s">
        <v>1305</v>
      </c>
      <c r="D1175" s="45" t="s">
        <v>5762</v>
      </c>
      <c r="E1175" s="78" t="s">
        <v>5763</v>
      </c>
      <c r="F1175" s="79" t="s">
        <v>5764</v>
      </c>
      <c r="G1175" s="80">
        <v>44213669.600000001</v>
      </c>
      <c r="H1175" s="80">
        <v>13793514.9</v>
      </c>
      <c r="I1175" s="78" t="s">
        <v>268</v>
      </c>
      <c r="J1175" s="79" t="s">
        <v>502</v>
      </c>
      <c r="K1175" s="81" t="s">
        <v>4538</v>
      </c>
      <c r="L1175" s="82">
        <v>42177</v>
      </c>
      <c r="M1175" s="83">
        <v>42507</v>
      </c>
      <c r="N1175" s="80">
        <v>20034134.25</v>
      </c>
      <c r="O1175" s="82" t="s">
        <v>5765</v>
      </c>
      <c r="P1175" s="84" t="s">
        <v>5766</v>
      </c>
      <c r="Q1175" s="80">
        <v>9648296.0300000012</v>
      </c>
      <c r="R1175" s="80">
        <v>29682430.280000001</v>
      </c>
      <c r="S1175" s="80"/>
      <c r="T1175" s="81" t="s">
        <v>5767</v>
      </c>
      <c r="U1175" s="80">
        <v>265144.40999999997</v>
      </c>
      <c r="V1175" s="80"/>
      <c r="W1175" s="80"/>
      <c r="X1175" s="80">
        <v>265144.40999999997</v>
      </c>
      <c r="Y1175" s="76" t="s">
        <v>330</v>
      </c>
      <c r="Z1175" s="19" t="s">
        <v>7038</v>
      </c>
      <c r="AA1175" s="28"/>
      <c r="AB1175" s="56"/>
      <c r="AC1175" s="28"/>
      <c r="AD1175" s="28"/>
      <c r="AE1175" s="54"/>
      <c r="AF1175" s="54"/>
      <c r="AG1175" s="54"/>
      <c r="AH1175" s="53"/>
      <c r="AI1175" s="53" t="s">
        <v>1591</v>
      </c>
      <c r="AJ1175" s="53" t="s">
        <v>1591</v>
      </c>
    </row>
    <row r="1176" spans="1:36" s="3" customFormat="1" ht="36" x14ac:dyDescent="0.25">
      <c r="A1176" s="35" t="s">
        <v>2831</v>
      </c>
      <c r="B1176" s="18" t="s">
        <v>37</v>
      </c>
      <c r="C1176" s="76"/>
      <c r="D1176" s="43" t="s">
        <v>5772</v>
      </c>
      <c r="E1176" s="78"/>
      <c r="F1176" s="36" t="s">
        <v>1560</v>
      </c>
      <c r="G1176" s="80"/>
      <c r="H1176" s="80"/>
      <c r="I1176" s="36" t="s">
        <v>5773</v>
      </c>
      <c r="J1176" s="34" t="s">
        <v>5774</v>
      </c>
      <c r="K1176" s="37" t="s">
        <v>5775</v>
      </c>
      <c r="L1176" s="38">
        <v>41897</v>
      </c>
      <c r="M1176" s="39">
        <v>42197</v>
      </c>
      <c r="N1176" s="42">
        <v>8064294.4800000004</v>
      </c>
      <c r="O1176" s="85"/>
      <c r="P1176" s="86">
        <v>42197</v>
      </c>
      <c r="Q1176" s="41"/>
      <c r="R1176" s="41">
        <v>8064294.4800000004</v>
      </c>
      <c r="S1176" s="80"/>
      <c r="T1176" s="81"/>
      <c r="U1176" s="80"/>
      <c r="V1176" s="80"/>
      <c r="W1176" s="42"/>
      <c r="X1176" s="42">
        <v>1920076.43</v>
      </c>
      <c r="Y1176" s="34" t="s">
        <v>4321</v>
      </c>
      <c r="Z1176" s="19" t="s">
        <v>7038</v>
      </c>
      <c r="AA1176" s="28"/>
      <c r="AB1176" s="56"/>
      <c r="AC1176" s="28"/>
      <c r="AD1176" s="28"/>
      <c r="AE1176" s="54"/>
      <c r="AF1176" s="54"/>
      <c r="AG1176" s="54"/>
      <c r="AH1176" s="53"/>
      <c r="AI1176" s="53" t="s">
        <v>1591</v>
      </c>
      <c r="AJ1176" s="53" t="s">
        <v>1591</v>
      </c>
    </row>
    <row r="1177" spans="1:36" s="3" customFormat="1" ht="84" x14ac:dyDescent="0.25">
      <c r="A1177" s="17" t="s">
        <v>1583</v>
      </c>
      <c r="B1177" s="18" t="s">
        <v>37</v>
      </c>
      <c r="C1177" s="76" t="s">
        <v>5776</v>
      </c>
      <c r="D1177" s="45" t="s">
        <v>5777</v>
      </c>
      <c r="E1177" s="78" t="s">
        <v>5778</v>
      </c>
      <c r="F1177" s="79" t="s">
        <v>1584</v>
      </c>
      <c r="G1177" s="80">
        <v>4943600</v>
      </c>
      <c r="H1177" s="80">
        <v>420763.82</v>
      </c>
      <c r="I1177" s="78" t="s">
        <v>5779</v>
      </c>
      <c r="J1177" s="79" t="s">
        <v>1585</v>
      </c>
      <c r="K1177" s="81" t="s">
        <v>5780</v>
      </c>
      <c r="L1177" s="82">
        <v>40184</v>
      </c>
      <c r="M1177" s="83">
        <v>40544</v>
      </c>
      <c r="N1177" s="80">
        <v>5385113.6200000001</v>
      </c>
      <c r="O1177" s="82"/>
      <c r="P1177" s="84" t="s">
        <v>5781</v>
      </c>
      <c r="Q1177" s="80">
        <v>105700.71999999974</v>
      </c>
      <c r="R1177" s="80">
        <v>5490814.3399999999</v>
      </c>
      <c r="S1177" s="80">
        <v>870325.21</v>
      </c>
      <c r="T1177" s="81" t="s">
        <v>5767</v>
      </c>
      <c r="U1177" s="80">
        <v>45527.199999999997</v>
      </c>
      <c r="V1177" s="80"/>
      <c r="W1177" s="80"/>
      <c r="X1177" s="80">
        <v>5209137.25</v>
      </c>
      <c r="Y1177" s="76" t="s">
        <v>5782</v>
      </c>
      <c r="Z1177" s="19" t="s">
        <v>7038</v>
      </c>
      <c r="AA1177" s="28"/>
      <c r="AB1177" s="56"/>
      <c r="AC1177" s="28"/>
      <c r="AD1177" s="28"/>
      <c r="AE1177" s="54"/>
      <c r="AF1177" s="54"/>
      <c r="AG1177" s="54"/>
      <c r="AH1177" s="53"/>
      <c r="AI1177" s="53" t="s">
        <v>1591</v>
      </c>
      <c r="AJ1177" s="53" t="s">
        <v>1591</v>
      </c>
    </row>
    <row r="1178" spans="1:36" s="3" customFormat="1" ht="72" x14ac:dyDescent="0.25">
      <c r="A1178" s="17" t="s">
        <v>1583</v>
      </c>
      <c r="B1178" s="18" t="s">
        <v>37</v>
      </c>
      <c r="C1178" s="76" t="s">
        <v>1587</v>
      </c>
      <c r="D1178" s="45" t="s">
        <v>5783</v>
      </c>
      <c r="E1178" s="78" t="s">
        <v>5784</v>
      </c>
      <c r="F1178" s="79" t="s">
        <v>889</v>
      </c>
      <c r="G1178" s="80">
        <v>4796813.21</v>
      </c>
      <c r="H1178" s="80"/>
      <c r="I1178" s="78" t="s">
        <v>5785</v>
      </c>
      <c r="J1178" s="79" t="s">
        <v>5786</v>
      </c>
      <c r="K1178" s="81" t="s">
        <v>5787</v>
      </c>
      <c r="L1178" s="82">
        <v>41935</v>
      </c>
      <c r="M1178" s="83">
        <v>42115</v>
      </c>
      <c r="N1178" s="80">
        <v>4796501.18</v>
      </c>
      <c r="O1178" s="82" t="s">
        <v>5788</v>
      </c>
      <c r="P1178" s="84" t="s">
        <v>5088</v>
      </c>
      <c r="Q1178" s="80">
        <v>0</v>
      </c>
      <c r="R1178" s="80">
        <v>4796501.18</v>
      </c>
      <c r="S1178" s="80"/>
      <c r="T1178" s="81" t="s">
        <v>5767</v>
      </c>
      <c r="U1178" s="80">
        <v>1528718.58</v>
      </c>
      <c r="V1178" s="80"/>
      <c r="W1178" s="80"/>
      <c r="X1178" s="80">
        <v>2877910.46</v>
      </c>
      <c r="Y1178" s="76" t="s">
        <v>5789</v>
      </c>
      <c r="Z1178" s="19" t="s">
        <v>7038</v>
      </c>
      <c r="AA1178" s="28"/>
      <c r="AB1178" s="56"/>
      <c r="AC1178" s="28"/>
      <c r="AD1178" s="28"/>
      <c r="AE1178" s="54"/>
      <c r="AF1178" s="54"/>
      <c r="AG1178" s="54"/>
      <c r="AH1178" s="53"/>
      <c r="AI1178" s="53" t="s">
        <v>1591</v>
      </c>
      <c r="AJ1178" s="53" t="s">
        <v>1591</v>
      </c>
    </row>
    <row r="1179" spans="1:36" s="3" customFormat="1" ht="36" x14ac:dyDescent="0.25">
      <c r="A1179" s="35" t="s">
        <v>2831</v>
      </c>
      <c r="B1179" s="18" t="s">
        <v>37</v>
      </c>
      <c r="C1179" s="76"/>
      <c r="D1179" s="43" t="s">
        <v>5790</v>
      </c>
      <c r="E1179" s="78"/>
      <c r="F1179" s="36"/>
      <c r="G1179" s="80"/>
      <c r="H1179" s="80"/>
      <c r="I1179" s="36" t="s">
        <v>247</v>
      </c>
      <c r="J1179" s="34" t="s">
        <v>248</v>
      </c>
      <c r="K1179" s="37" t="s">
        <v>434</v>
      </c>
      <c r="L1179" s="38">
        <v>41724</v>
      </c>
      <c r="M1179" s="39">
        <v>41904</v>
      </c>
      <c r="N1179" s="42">
        <v>2051239.28</v>
      </c>
      <c r="O1179" s="85"/>
      <c r="P1179" s="86"/>
      <c r="Q1179" s="41"/>
      <c r="R1179" s="41">
        <v>2051239.28</v>
      </c>
      <c r="S1179" s="80"/>
      <c r="T1179" s="81"/>
      <c r="U1179" s="80"/>
      <c r="V1179" s="80"/>
      <c r="W1179" s="42"/>
      <c r="X1179" s="42"/>
      <c r="Y1179" s="34" t="s">
        <v>4321</v>
      </c>
      <c r="Z1179" s="19" t="s">
        <v>7038</v>
      </c>
      <c r="AA1179" s="28"/>
      <c r="AB1179" s="56"/>
      <c r="AC1179" s="28"/>
      <c r="AD1179" s="28"/>
      <c r="AE1179" s="54"/>
      <c r="AF1179" s="54"/>
      <c r="AG1179" s="54"/>
      <c r="AH1179" s="53"/>
      <c r="AI1179" s="53" t="s">
        <v>1591</v>
      </c>
      <c r="AJ1179" s="53" t="s">
        <v>1591</v>
      </c>
    </row>
    <row r="1180" spans="1:36" s="3" customFormat="1" ht="84" x14ac:dyDescent="0.25">
      <c r="A1180" s="17" t="s">
        <v>1583</v>
      </c>
      <c r="B1180" s="18" t="s">
        <v>37</v>
      </c>
      <c r="C1180" s="76" t="s">
        <v>828</v>
      </c>
      <c r="D1180" s="45" t="s">
        <v>5791</v>
      </c>
      <c r="E1180" s="78" t="s">
        <v>5792</v>
      </c>
      <c r="F1180" s="79" t="s">
        <v>5793</v>
      </c>
      <c r="G1180" s="80">
        <v>975000</v>
      </c>
      <c r="H1180" s="80">
        <v>164389.32999999999</v>
      </c>
      <c r="I1180" s="78" t="s">
        <v>1199</v>
      </c>
      <c r="J1180" s="79" t="s">
        <v>5794</v>
      </c>
      <c r="K1180" s="81" t="s">
        <v>5795</v>
      </c>
      <c r="L1180" s="82">
        <v>41911</v>
      </c>
      <c r="M1180" s="83">
        <v>42276</v>
      </c>
      <c r="N1180" s="80">
        <v>1101355.75</v>
      </c>
      <c r="O1180" s="82"/>
      <c r="P1180" s="84" t="s">
        <v>5796</v>
      </c>
      <c r="Q1180" s="80">
        <v>55943.239999999991</v>
      </c>
      <c r="R1180" s="80">
        <v>1157298.99</v>
      </c>
      <c r="S1180" s="80"/>
      <c r="T1180" s="81" t="s">
        <v>5767</v>
      </c>
      <c r="U1180" s="80">
        <v>425930</v>
      </c>
      <c r="V1180" s="80"/>
      <c r="W1180" s="80"/>
      <c r="X1180" s="80">
        <v>578295.17000000004</v>
      </c>
      <c r="Y1180" s="76" t="s">
        <v>5782</v>
      </c>
      <c r="Z1180" s="19" t="s">
        <v>7038</v>
      </c>
      <c r="AA1180" s="28"/>
      <c r="AB1180" s="56"/>
      <c r="AC1180" s="28"/>
      <c r="AD1180" s="28"/>
      <c r="AE1180" s="54"/>
      <c r="AF1180" s="54"/>
      <c r="AG1180" s="54"/>
      <c r="AH1180" s="53"/>
      <c r="AI1180" s="53" t="s">
        <v>1591</v>
      </c>
      <c r="AJ1180" s="53" t="s">
        <v>1591</v>
      </c>
    </row>
    <row r="1181" spans="1:36" s="3" customFormat="1" ht="84" x14ac:dyDescent="0.25">
      <c r="A1181" s="17" t="s">
        <v>1583</v>
      </c>
      <c r="B1181" s="18" t="s">
        <v>37</v>
      </c>
      <c r="C1181" s="76" t="s">
        <v>1589</v>
      </c>
      <c r="D1181" s="45" t="s">
        <v>5798</v>
      </c>
      <c r="E1181" s="78" t="s">
        <v>5799</v>
      </c>
      <c r="F1181" s="79" t="s">
        <v>1584</v>
      </c>
      <c r="G1181" s="80">
        <v>1989739.34</v>
      </c>
      <c r="H1181" s="80"/>
      <c r="I1181" s="78" t="s">
        <v>327</v>
      </c>
      <c r="J1181" s="79" t="s">
        <v>5800</v>
      </c>
      <c r="K1181" s="81" t="s">
        <v>1202</v>
      </c>
      <c r="L1181" s="82">
        <v>41724</v>
      </c>
      <c r="M1181" s="83">
        <v>41964</v>
      </c>
      <c r="N1181" s="80">
        <v>897746.74</v>
      </c>
      <c r="O1181" s="82"/>
      <c r="P1181" s="84" t="s">
        <v>5801</v>
      </c>
      <c r="Q1181" s="80">
        <v>-24647.650000000023</v>
      </c>
      <c r="R1181" s="80">
        <v>873099.09</v>
      </c>
      <c r="S1181" s="80" t="s">
        <v>662</v>
      </c>
      <c r="T1181" s="81" t="s">
        <v>5767</v>
      </c>
      <c r="U1181" s="80">
        <v>22009.46</v>
      </c>
      <c r="V1181" s="80"/>
      <c r="W1181" s="80"/>
      <c r="X1181" s="80">
        <v>161702.26</v>
      </c>
      <c r="Y1181" s="76" t="s">
        <v>5782</v>
      </c>
      <c r="Z1181" s="19" t="s">
        <v>7038</v>
      </c>
      <c r="AA1181" s="28"/>
      <c r="AB1181" s="56"/>
      <c r="AC1181" s="28"/>
      <c r="AD1181" s="28"/>
      <c r="AE1181" s="54"/>
      <c r="AF1181" s="54"/>
      <c r="AG1181" s="54"/>
      <c r="AH1181" s="53"/>
      <c r="AI1181" s="53" t="s">
        <v>1591</v>
      </c>
      <c r="AJ1181" s="53" t="s">
        <v>1591</v>
      </c>
    </row>
    <row r="1182" spans="1:36" s="3" customFormat="1" ht="84" x14ac:dyDescent="0.25">
      <c r="A1182" s="17" t="s">
        <v>1583</v>
      </c>
      <c r="B1182" s="18" t="s">
        <v>37</v>
      </c>
      <c r="C1182" s="76" t="s">
        <v>728</v>
      </c>
      <c r="D1182" s="45" t="s">
        <v>5802</v>
      </c>
      <c r="E1182" s="78" t="s">
        <v>5803</v>
      </c>
      <c r="F1182" s="79" t="s">
        <v>5764</v>
      </c>
      <c r="G1182" s="80">
        <v>987600</v>
      </c>
      <c r="H1182" s="80">
        <v>62400</v>
      </c>
      <c r="I1182" s="78" t="s">
        <v>551</v>
      </c>
      <c r="J1182" s="79" t="s">
        <v>5804</v>
      </c>
      <c r="K1182" s="81" t="s">
        <v>5805</v>
      </c>
      <c r="L1182" s="82">
        <v>42255</v>
      </c>
      <c r="M1182" s="83">
        <v>42435</v>
      </c>
      <c r="N1182" s="80">
        <v>1009028.13</v>
      </c>
      <c r="O1182" s="82" t="s">
        <v>5806</v>
      </c>
      <c r="P1182" s="84" t="s">
        <v>5050</v>
      </c>
      <c r="Q1182" s="80">
        <v>-178599.76</v>
      </c>
      <c r="R1182" s="80">
        <v>830428.37</v>
      </c>
      <c r="S1182" s="80"/>
      <c r="T1182" s="81" t="s">
        <v>5767</v>
      </c>
      <c r="U1182" s="80">
        <v>129512.91</v>
      </c>
      <c r="V1182" s="80"/>
      <c r="W1182" s="80"/>
      <c r="X1182" s="80">
        <v>129512.91</v>
      </c>
      <c r="Y1182" s="76" t="s">
        <v>5782</v>
      </c>
      <c r="Z1182" s="19" t="s">
        <v>7038</v>
      </c>
      <c r="AA1182" s="28"/>
      <c r="AB1182" s="56"/>
      <c r="AC1182" s="28"/>
      <c r="AD1182" s="28"/>
      <c r="AE1182" s="54"/>
      <c r="AF1182" s="54"/>
      <c r="AG1182" s="54"/>
      <c r="AH1182" s="53"/>
      <c r="AI1182" s="53" t="s">
        <v>1591</v>
      </c>
      <c r="AJ1182" s="53" t="s">
        <v>1591</v>
      </c>
    </row>
    <row r="1183" spans="1:36" s="3" customFormat="1" ht="36" x14ac:dyDescent="0.25">
      <c r="A1183" s="35" t="s">
        <v>2831</v>
      </c>
      <c r="B1183" s="18" t="s">
        <v>37</v>
      </c>
      <c r="C1183" s="76"/>
      <c r="D1183" s="43" t="s">
        <v>5807</v>
      </c>
      <c r="E1183" s="78"/>
      <c r="F1183" s="36"/>
      <c r="G1183" s="80"/>
      <c r="H1183" s="80"/>
      <c r="I1183" s="36" t="s">
        <v>1524</v>
      </c>
      <c r="J1183" s="34" t="s">
        <v>5808</v>
      </c>
      <c r="K1183" s="37" t="s">
        <v>5809</v>
      </c>
      <c r="L1183" s="38">
        <v>41065</v>
      </c>
      <c r="M1183" s="39">
        <v>41785</v>
      </c>
      <c r="N1183" s="42">
        <v>384217.5</v>
      </c>
      <c r="O1183" s="85"/>
      <c r="P1183" s="86">
        <v>42505</v>
      </c>
      <c r="Q1183" s="41"/>
      <c r="R1183" s="41">
        <v>384217.5</v>
      </c>
      <c r="S1183" s="80"/>
      <c r="T1183" s="81"/>
      <c r="U1183" s="80"/>
      <c r="V1183" s="80"/>
      <c r="W1183" s="42"/>
      <c r="X1183" s="42">
        <v>154674.82999999999</v>
      </c>
      <c r="Y1183" s="34" t="s">
        <v>4321</v>
      </c>
      <c r="Z1183" s="19" t="s">
        <v>7038</v>
      </c>
      <c r="AA1183" s="28"/>
      <c r="AB1183" s="56"/>
      <c r="AC1183" s="28"/>
      <c r="AD1183" s="28"/>
      <c r="AE1183" s="54"/>
      <c r="AF1183" s="54"/>
      <c r="AG1183" s="54"/>
      <c r="AH1183" s="53"/>
      <c r="AI1183" s="53" t="s">
        <v>1591</v>
      </c>
      <c r="AJ1183" s="53" t="s">
        <v>1591</v>
      </c>
    </row>
    <row r="1184" spans="1:36" s="3" customFormat="1" ht="84" x14ac:dyDescent="0.25">
      <c r="A1184" s="17" t="s">
        <v>1583</v>
      </c>
      <c r="B1184" s="18" t="s">
        <v>37</v>
      </c>
      <c r="C1184" s="76" t="s">
        <v>5810</v>
      </c>
      <c r="D1184" s="45" t="s">
        <v>5811</v>
      </c>
      <c r="E1184" s="78" t="s">
        <v>5812</v>
      </c>
      <c r="F1184" s="79" t="s">
        <v>5764</v>
      </c>
      <c r="G1184" s="80">
        <v>295300</v>
      </c>
      <c r="H1184" s="80">
        <v>61190.21</v>
      </c>
      <c r="I1184" s="78" t="s">
        <v>536</v>
      </c>
      <c r="J1184" s="79" t="s">
        <v>530</v>
      </c>
      <c r="K1184" s="81" t="s">
        <v>471</v>
      </c>
      <c r="L1184" s="82">
        <v>42106</v>
      </c>
      <c r="M1184" s="83">
        <v>42226</v>
      </c>
      <c r="N1184" s="80">
        <v>374237.01</v>
      </c>
      <c r="O1184" s="82"/>
      <c r="P1184" s="84" t="s">
        <v>5813</v>
      </c>
      <c r="Q1184" s="80">
        <v>-21373.350000000035</v>
      </c>
      <c r="R1184" s="80">
        <v>352863.66</v>
      </c>
      <c r="S1184" s="80"/>
      <c r="T1184" s="81" t="s">
        <v>5767</v>
      </c>
      <c r="U1184" s="80">
        <v>232646.56</v>
      </c>
      <c r="V1184" s="80"/>
      <c r="W1184" s="80"/>
      <c r="X1184" s="80">
        <v>232646.56</v>
      </c>
      <c r="Y1184" s="76" t="s">
        <v>5782</v>
      </c>
      <c r="Z1184" s="19" t="s">
        <v>7038</v>
      </c>
      <c r="AA1184" s="28"/>
      <c r="AB1184" s="56"/>
      <c r="AC1184" s="28"/>
      <c r="AD1184" s="28"/>
      <c r="AE1184" s="54"/>
      <c r="AF1184" s="54"/>
      <c r="AG1184" s="54"/>
      <c r="AH1184" s="53"/>
      <c r="AI1184" s="53" t="s">
        <v>1591</v>
      </c>
      <c r="AJ1184" s="53" t="s">
        <v>1591</v>
      </c>
    </row>
    <row r="1185" spans="1:36" s="3" customFormat="1" ht="84" x14ac:dyDescent="0.25">
      <c r="A1185" s="17" t="s">
        <v>1583</v>
      </c>
      <c r="B1185" s="18" t="s">
        <v>37</v>
      </c>
      <c r="C1185" s="76" t="s">
        <v>95</v>
      </c>
      <c r="D1185" s="45" t="s">
        <v>5814</v>
      </c>
      <c r="E1185" s="78" t="s">
        <v>5815</v>
      </c>
      <c r="F1185" s="79" t="s">
        <v>5764</v>
      </c>
      <c r="G1185" s="80">
        <v>292500</v>
      </c>
      <c r="H1185" s="80">
        <v>6000</v>
      </c>
      <c r="I1185" s="78" t="s">
        <v>134</v>
      </c>
      <c r="J1185" s="79" t="s">
        <v>5816</v>
      </c>
      <c r="K1185" s="81" t="s">
        <v>1143</v>
      </c>
      <c r="L1185" s="82">
        <v>42368</v>
      </c>
      <c r="M1185" s="83">
        <v>43088</v>
      </c>
      <c r="N1185" s="80">
        <v>234914.1</v>
      </c>
      <c r="O1185" s="82" t="s">
        <v>4368</v>
      </c>
      <c r="P1185" s="84" t="s">
        <v>5088</v>
      </c>
      <c r="Q1185" s="80">
        <v>8476.6199999999953</v>
      </c>
      <c r="R1185" s="80">
        <v>243390.72</v>
      </c>
      <c r="S1185" s="80"/>
      <c r="T1185" s="81" t="s">
        <v>5767</v>
      </c>
      <c r="U1185" s="80">
        <v>205792.78</v>
      </c>
      <c r="V1185" s="80"/>
      <c r="W1185" s="80"/>
      <c r="X1185" s="80">
        <v>205792.78</v>
      </c>
      <c r="Y1185" s="76" t="s">
        <v>5782</v>
      </c>
      <c r="Z1185" s="19" t="s">
        <v>7038</v>
      </c>
      <c r="AA1185" s="28"/>
      <c r="AB1185" s="56"/>
      <c r="AC1185" s="28"/>
      <c r="AD1185" s="28"/>
      <c r="AE1185" s="54"/>
      <c r="AF1185" s="54"/>
      <c r="AG1185" s="54"/>
      <c r="AH1185" s="53"/>
      <c r="AI1185" s="53" t="s">
        <v>1591</v>
      </c>
      <c r="AJ1185" s="53" t="s">
        <v>1591</v>
      </c>
    </row>
    <row r="1186" spans="1:36" s="3" customFormat="1" ht="36" x14ac:dyDescent="0.25">
      <c r="A1186" s="17" t="s">
        <v>1583</v>
      </c>
      <c r="B1186" s="18" t="s">
        <v>37</v>
      </c>
      <c r="C1186" s="76" t="s">
        <v>5817</v>
      </c>
      <c r="D1186" s="77" t="s">
        <v>5818</v>
      </c>
      <c r="E1186" s="78"/>
      <c r="F1186" s="79"/>
      <c r="G1186" s="80"/>
      <c r="H1186" s="80"/>
      <c r="I1186" s="78" t="s">
        <v>5768</v>
      </c>
      <c r="J1186" s="79" t="s">
        <v>5769</v>
      </c>
      <c r="K1186" s="81" t="s">
        <v>5819</v>
      </c>
      <c r="L1186" s="82"/>
      <c r="M1186" s="83">
        <v>120</v>
      </c>
      <c r="N1186" s="80">
        <v>93770.77</v>
      </c>
      <c r="O1186" s="82"/>
      <c r="P1186" s="84" t="s">
        <v>5820</v>
      </c>
      <c r="Q1186" s="80">
        <v>0</v>
      </c>
      <c r="R1186" s="80">
        <v>93770.77</v>
      </c>
      <c r="S1186" s="80"/>
      <c r="T1186" s="81" t="s">
        <v>5767</v>
      </c>
      <c r="U1186" s="80"/>
      <c r="V1186" s="80"/>
      <c r="W1186" s="80"/>
      <c r="X1186" s="80"/>
      <c r="Y1186" s="76" t="s">
        <v>4350</v>
      </c>
      <c r="Z1186" s="19" t="s">
        <v>7038</v>
      </c>
      <c r="AA1186" s="28"/>
      <c r="AB1186" s="56"/>
      <c r="AC1186" s="28"/>
      <c r="AD1186" s="28"/>
      <c r="AE1186" s="54"/>
      <c r="AF1186" s="54"/>
      <c r="AG1186" s="54"/>
      <c r="AH1186" s="53"/>
      <c r="AI1186" s="53" t="s">
        <v>1591</v>
      </c>
      <c r="AJ1186" s="53" t="s">
        <v>1591</v>
      </c>
    </row>
    <row r="1187" spans="1:36" s="3" customFormat="1" ht="36" x14ac:dyDescent="0.25">
      <c r="A1187" s="35" t="s">
        <v>2831</v>
      </c>
      <c r="B1187" s="18" t="s">
        <v>37</v>
      </c>
      <c r="C1187" s="76"/>
      <c r="D1187" s="43" t="s">
        <v>5821</v>
      </c>
      <c r="E1187" s="78"/>
      <c r="F1187" s="36"/>
      <c r="G1187" s="80"/>
      <c r="H1187" s="80"/>
      <c r="I1187" s="36" t="s">
        <v>134</v>
      </c>
      <c r="J1187" s="34" t="s">
        <v>5816</v>
      </c>
      <c r="K1187" s="37" t="s">
        <v>1525</v>
      </c>
      <c r="L1187" s="38">
        <v>41912</v>
      </c>
      <c r="M1187" s="39">
        <v>41972</v>
      </c>
      <c r="N1187" s="42">
        <v>62346.3</v>
      </c>
      <c r="O1187" s="85"/>
      <c r="P1187" s="86">
        <v>42092</v>
      </c>
      <c r="Q1187" s="41">
        <v>12311.49</v>
      </c>
      <c r="R1187" s="41">
        <v>74657.790000000008</v>
      </c>
      <c r="S1187" s="80"/>
      <c r="T1187" s="81"/>
      <c r="U1187" s="80"/>
      <c r="V1187" s="80"/>
      <c r="W1187" s="42"/>
      <c r="X1187" s="42">
        <v>22576.93</v>
      </c>
      <c r="Y1187" s="34" t="s">
        <v>4321</v>
      </c>
      <c r="Z1187" s="19" t="s">
        <v>7038</v>
      </c>
      <c r="AA1187" s="28"/>
      <c r="AB1187" s="56"/>
      <c r="AC1187" s="28"/>
      <c r="AD1187" s="28"/>
      <c r="AE1187" s="54"/>
      <c r="AF1187" s="54"/>
      <c r="AG1187" s="54"/>
      <c r="AH1187" s="53"/>
      <c r="AI1187" s="53" t="s">
        <v>1591</v>
      </c>
      <c r="AJ1187" s="53" t="s">
        <v>1591</v>
      </c>
    </row>
    <row r="1188" spans="1:36" s="3" customFormat="1" ht="48" x14ac:dyDescent="0.25">
      <c r="A1188" s="17" t="s">
        <v>1590</v>
      </c>
      <c r="B1188" s="18" t="s">
        <v>37</v>
      </c>
      <c r="C1188" s="76" t="s">
        <v>5822</v>
      </c>
      <c r="D1188" s="45" t="s">
        <v>5823</v>
      </c>
      <c r="E1188" s="78" t="s">
        <v>180</v>
      </c>
      <c r="F1188" s="79" t="s">
        <v>562</v>
      </c>
      <c r="G1188" s="80" t="s">
        <v>180</v>
      </c>
      <c r="H1188" s="80" t="s">
        <v>180</v>
      </c>
      <c r="I1188" s="78"/>
      <c r="J1188" s="79" t="s">
        <v>5824</v>
      </c>
      <c r="K1188" s="81" t="s">
        <v>108</v>
      </c>
      <c r="L1188" s="82">
        <v>42522</v>
      </c>
      <c r="M1188" s="83">
        <v>42702</v>
      </c>
      <c r="N1188" s="80">
        <v>2056773.11</v>
      </c>
      <c r="O1188" s="82" t="s">
        <v>1591</v>
      </c>
      <c r="P1188" s="84" t="s">
        <v>1591</v>
      </c>
      <c r="Q1188" s="80">
        <v>0</v>
      </c>
      <c r="R1188" s="80">
        <v>2056773.11</v>
      </c>
      <c r="S1188" s="80" t="s">
        <v>1591</v>
      </c>
      <c r="T1188" s="81" t="s">
        <v>907</v>
      </c>
      <c r="U1188" s="80"/>
      <c r="V1188" s="80"/>
      <c r="W1188" s="80"/>
      <c r="X1188" s="80"/>
      <c r="Y1188" s="76" t="s">
        <v>5825</v>
      </c>
      <c r="Z1188" s="19" t="s">
        <v>7038</v>
      </c>
      <c r="AA1188" s="28"/>
      <c r="AB1188" s="56"/>
      <c r="AC1188" s="28"/>
      <c r="AD1188" s="28"/>
      <c r="AE1188" s="54"/>
      <c r="AF1188" s="54"/>
      <c r="AG1188" s="54"/>
      <c r="AH1188" s="53"/>
      <c r="AI1188" s="53" t="s">
        <v>1591</v>
      </c>
      <c r="AJ1188" s="53" t="s">
        <v>1591</v>
      </c>
    </row>
    <row r="1189" spans="1:36" s="3" customFormat="1" ht="36" x14ac:dyDescent="0.25">
      <c r="A1189" s="17" t="s">
        <v>1590</v>
      </c>
      <c r="B1189" s="18" t="s">
        <v>37</v>
      </c>
      <c r="C1189" s="76" t="s">
        <v>5826</v>
      </c>
      <c r="D1189" s="45" t="s">
        <v>5827</v>
      </c>
      <c r="E1189" s="78" t="s">
        <v>5828</v>
      </c>
      <c r="F1189" s="79" t="s">
        <v>661</v>
      </c>
      <c r="G1189" s="80"/>
      <c r="H1189" s="80"/>
      <c r="I1189" s="78" t="s">
        <v>5829</v>
      </c>
      <c r="J1189" s="79" t="s">
        <v>5830</v>
      </c>
      <c r="K1189" s="81" t="s">
        <v>1014</v>
      </c>
      <c r="L1189" s="82">
        <v>41885</v>
      </c>
      <c r="M1189" s="83">
        <v>42250</v>
      </c>
      <c r="N1189" s="80">
        <v>932900.4</v>
      </c>
      <c r="O1189" s="82" t="s">
        <v>39</v>
      </c>
      <c r="P1189" s="84" t="s">
        <v>5831</v>
      </c>
      <c r="Q1189" s="80">
        <v>0</v>
      </c>
      <c r="R1189" s="80">
        <v>932900.4</v>
      </c>
      <c r="S1189" s="80" t="s">
        <v>39</v>
      </c>
      <c r="T1189" s="81" t="s">
        <v>893</v>
      </c>
      <c r="U1189" s="80">
        <v>60515.74</v>
      </c>
      <c r="V1189" s="80"/>
      <c r="W1189" s="80"/>
      <c r="X1189" s="80">
        <v>545710.89</v>
      </c>
      <c r="Y1189" s="76" t="s">
        <v>133</v>
      </c>
      <c r="Z1189" s="19" t="s">
        <v>7038</v>
      </c>
      <c r="AA1189" s="28"/>
      <c r="AB1189" s="56"/>
      <c r="AC1189" s="28"/>
      <c r="AD1189" s="28"/>
      <c r="AE1189" s="54"/>
      <c r="AF1189" s="54"/>
      <c r="AG1189" s="54"/>
      <c r="AH1189" s="53"/>
      <c r="AI1189" s="53" t="s">
        <v>1591</v>
      </c>
      <c r="AJ1189" s="53" t="s">
        <v>1591</v>
      </c>
    </row>
    <row r="1190" spans="1:36" s="3" customFormat="1" ht="48" x14ac:dyDescent="0.25">
      <c r="A1190" s="17" t="s">
        <v>1590</v>
      </c>
      <c r="B1190" s="18" t="s">
        <v>37</v>
      </c>
      <c r="C1190" s="76" t="s">
        <v>5832</v>
      </c>
      <c r="D1190" s="45" t="s">
        <v>5833</v>
      </c>
      <c r="E1190" s="78" t="s">
        <v>5834</v>
      </c>
      <c r="F1190" s="79" t="s">
        <v>562</v>
      </c>
      <c r="G1190" s="80">
        <v>750000</v>
      </c>
      <c r="H1190" s="80">
        <v>39476.68</v>
      </c>
      <c r="I1190" s="78" t="s">
        <v>5835</v>
      </c>
      <c r="J1190" s="79" t="s">
        <v>1222</v>
      </c>
      <c r="K1190" s="81" t="s">
        <v>839</v>
      </c>
      <c r="L1190" s="82">
        <v>41079</v>
      </c>
      <c r="M1190" s="83">
        <v>41259</v>
      </c>
      <c r="N1190" s="80">
        <v>789442.14</v>
      </c>
      <c r="O1190" s="82" t="s">
        <v>39</v>
      </c>
      <c r="P1190" s="84" t="s">
        <v>39</v>
      </c>
      <c r="Q1190" s="80">
        <v>0</v>
      </c>
      <c r="R1190" s="80">
        <v>789442.14</v>
      </c>
      <c r="S1190" s="80" t="s">
        <v>39</v>
      </c>
      <c r="T1190" s="81" t="s">
        <v>893</v>
      </c>
      <c r="U1190" s="80"/>
      <c r="V1190" s="80"/>
      <c r="W1190" s="80"/>
      <c r="X1190" s="80">
        <v>299840.07</v>
      </c>
      <c r="Y1190" s="76" t="s">
        <v>157</v>
      </c>
      <c r="Z1190" s="19" t="s">
        <v>7038</v>
      </c>
      <c r="AA1190" s="28"/>
      <c r="AB1190" s="56"/>
      <c r="AC1190" s="28"/>
      <c r="AD1190" s="28"/>
      <c r="AE1190" s="54"/>
      <c r="AF1190" s="54"/>
      <c r="AG1190" s="54"/>
      <c r="AH1190" s="53"/>
      <c r="AI1190" s="53" t="s">
        <v>1591</v>
      </c>
      <c r="AJ1190" s="53" t="s">
        <v>1591</v>
      </c>
    </row>
    <row r="1191" spans="1:36" s="3" customFormat="1" ht="36" x14ac:dyDescent="0.25">
      <c r="A1191" s="17" t="s">
        <v>1590</v>
      </c>
      <c r="B1191" s="18" t="s">
        <v>37</v>
      </c>
      <c r="C1191" s="76" t="s">
        <v>5836</v>
      </c>
      <c r="D1191" s="45" t="s">
        <v>5837</v>
      </c>
      <c r="E1191" s="78"/>
      <c r="F1191" s="79" t="s">
        <v>43</v>
      </c>
      <c r="G1191" s="80"/>
      <c r="H1191" s="80"/>
      <c r="I1191" s="78" t="s">
        <v>5838</v>
      </c>
      <c r="J1191" s="79" t="s">
        <v>5839</v>
      </c>
      <c r="K1191" s="81" t="s">
        <v>1593</v>
      </c>
      <c r="L1191" s="82">
        <v>41705</v>
      </c>
      <c r="M1191" s="83">
        <v>41975</v>
      </c>
      <c r="N1191" s="80">
        <v>509921.6</v>
      </c>
      <c r="O1191" s="82" t="s">
        <v>39</v>
      </c>
      <c r="P1191" s="84" t="s">
        <v>5840</v>
      </c>
      <c r="Q1191" s="80">
        <v>0</v>
      </c>
      <c r="R1191" s="80">
        <v>509921.6</v>
      </c>
      <c r="S1191" s="80" t="s">
        <v>39</v>
      </c>
      <c r="T1191" s="81" t="s">
        <v>893</v>
      </c>
      <c r="U1191" s="80"/>
      <c r="V1191" s="80"/>
      <c r="W1191" s="80"/>
      <c r="X1191" s="80">
        <v>151477.93</v>
      </c>
      <c r="Y1191" s="76" t="s">
        <v>133</v>
      </c>
      <c r="Z1191" s="19" t="s">
        <v>7038</v>
      </c>
      <c r="AA1191" s="28"/>
      <c r="AB1191" s="56"/>
      <c r="AC1191" s="28"/>
      <c r="AD1191" s="28"/>
      <c r="AE1191" s="54"/>
      <c r="AF1191" s="54"/>
      <c r="AG1191" s="54"/>
      <c r="AH1191" s="53"/>
      <c r="AI1191" s="53" t="s">
        <v>1591</v>
      </c>
      <c r="AJ1191" s="53" t="s">
        <v>1591</v>
      </c>
    </row>
    <row r="1192" spans="1:36" s="3" customFormat="1" ht="36" x14ac:dyDescent="0.25">
      <c r="A1192" s="17" t="s">
        <v>1590</v>
      </c>
      <c r="B1192" s="18" t="s">
        <v>37</v>
      </c>
      <c r="C1192" s="76" t="s">
        <v>5841</v>
      </c>
      <c r="D1192" s="45" t="s">
        <v>5842</v>
      </c>
      <c r="E1192" s="78" t="s">
        <v>180</v>
      </c>
      <c r="F1192" s="79" t="s">
        <v>43</v>
      </c>
      <c r="G1192" s="80" t="s">
        <v>662</v>
      </c>
      <c r="H1192" s="80"/>
      <c r="I1192" s="78" t="s">
        <v>5838</v>
      </c>
      <c r="J1192" s="79" t="s">
        <v>5839</v>
      </c>
      <c r="K1192" s="81" t="s">
        <v>1592</v>
      </c>
      <c r="L1192" s="82">
        <v>41705</v>
      </c>
      <c r="M1192" s="83">
        <v>41975</v>
      </c>
      <c r="N1192" s="80">
        <v>509525.84</v>
      </c>
      <c r="O1192" s="82" t="s">
        <v>39</v>
      </c>
      <c r="P1192" s="84" t="s">
        <v>5840</v>
      </c>
      <c r="Q1192" s="80">
        <v>0</v>
      </c>
      <c r="R1192" s="80">
        <v>509525.84</v>
      </c>
      <c r="S1192" s="80" t="s">
        <v>39</v>
      </c>
      <c r="T1192" s="81" t="s">
        <v>893</v>
      </c>
      <c r="U1192" s="80"/>
      <c r="V1192" s="80"/>
      <c r="W1192" s="80"/>
      <c r="X1192" s="80">
        <v>264430.06</v>
      </c>
      <c r="Y1192" s="76" t="s">
        <v>157</v>
      </c>
      <c r="Z1192" s="19" t="s">
        <v>7038</v>
      </c>
      <c r="AA1192" s="28"/>
      <c r="AB1192" s="56"/>
      <c r="AC1192" s="28"/>
      <c r="AD1192" s="28"/>
      <c r="AE1192" s="54"/>
      <c r="AF1192" s="54"/>
      <c r="AG1192" s="54"/>
      <c r="AH1192" s="53"/>
      <c r="AI1192" s="53" t="s">
        <v>1591</v>
      </c>
      <c r="AJ1192" s="53" t="s">
        <v>1591</v>
      </c>
    </row>
    <row r="1193" spans="1:36" s="3" customFormat="1" ht="36" x14ac:dyDescent="0.25">
      <c r="A1193" s="17" t="s">
        <v>1590</v>
      </c>
      <c r="B1193" s="18" t="s">
        <v>37</v>
      </c>
      <c r="C1193" s="76" t="s">
        <v>5844</v>
      </c>
      <c r="D1193" s="45" t="s">
        <v>5845</v>
      </c>
      <c r="E1193" s="78" t="s">
        <v>180</v>
      </c>
      <c r="F1193" s="79"/>
      <c r="G1193" s="80"/>
      <c r="H1193" s="80"/>
      <c r="I1193" s="78" t="s">
        <v>5843</v>
      </c>
      <c r="J1193" s="79" t="s">
        <v>5846</v>
      </c>
      <c r="K1193" s="81" t="s">
        <v>1068</v>
      </c>
      <c r="L1193" s="82">
        <v>42073</v>
      </c>
      <c r="M1193" s="83">
        <v>42438</v>
      </c>
      <c r="N1193" s="80">
        <v>188793.5</v>
      </c>
      <c r="O1193" s="82" t="s">
        <v>1591</v>
      </c>
      <c r="P1193" s="84" t="s">
        <v>1591</v>
      </c>
      <c r="Q1193" s="80">
        <v>0</v>
      </c>
      <c r="R1193" s="80">
        <v>188793.5</v>
      </c>
      <c r="S1193" s="80" t="s">
        <v>1591</v>
      </c>
      <c r="T1193" s="81" t="s">
        <v>1594</v>
      </c>
      <c r="U1193" s="80">
        <v>9560.24</v>
      </c>
      <c r="V1193" s="80"/>
      <c r="W1193" s="80"/>
      <c r="X1193" s="80">
        <v>31694.04</v>
      </c>
      <c r="Y1193" s="76" t="s">
        <v>133</v>
      </c>
      <c r="Z1193" s="19" t="s">
        <v>7038</v>
      </c>
      <c r="AA1193" s="28"/>
      <c r="AB1193" s="56"/>
      <c r="AC1193" s="28"/>
      <c r="AD1193" s="28"/>
      <c r="AE1193" s="54"/>
      <c r="AF1193" s="54"/>
      <c r="AG1193" s="54"/>
      <c r="AH1193" s="53"/>
      <c r="AI1193" s="53" t="s">
        <v>1591</v>
      </c>
      <c r="AJ1193" s="53" t="s">
        <v>1591</v>
      </c>
    </row>
    <row r="1194" spans="1:36" s="3" customFormat="1" ht="36" x14ac:dyDescent="0.25">
      <c r="A1194" s="35" t="s">
        <v>2845</v>
      </c>
      <c r="B1194" s="18" t="s">
        <v>37</v>
      </c>
      <c r="C1194" s="76"/>
      <c r="D1194" s="43" t="s">
        <v>5847</v>
      </c>
      <c r="E1194" s="78"/>
      <c r="F1194" s="36" t="s">
        <v>180</v>
      </c>
      <c r="G1194" s="80"/>
      <c r="H1194" s="80"/>
      <c r="I1194" s="36" t="s">
        <v>5848</v>
      </c>
      <c r="J1194" s="34" t="s">
        <v>5849</v>
      </c>
      <c r="K1194" s="37" t="s">
        <v>5850</v>
      </c>
      <c r="L1194" s="38">
        <v>41521</v>
      </c>
      <c r="M1194" s="39">
        <v>41701</v>
      </c>
      <c r="N1194" s="42">
        <v>118802.73</v>
      </c>
      <c r="O1194" s="85"/>
      <c r="P1194" s="86"/>
      <c r="Q1194" s="41"/>
      <c r="R1194" s="41">
        <v>118802.73</v>
      </c>
      <c r="S1194" s="80"/>
      <c r="T1194" s="81"/>
      <c r="U1194" s="80"/>
      <c r="V1194" s="80"/>
      <c r="W1194" s="42"/>
      <c r="X1194" s="42">
        <v>29817.95</v>
      </c>
      <c r="Y1194" s="34" t="s">
        <v>4321</v>
      </c>
      <c r="Z1194" s="19" t="s">
        <v>7038</v>
      </c>
      <c r="AA1194" s="28"/>
      <c r="AB1194" s="56"/>
      <c r="AC1194" s="28"/>
      <c r="AD1194" s="28"/>
      <c r="AE1194" s="54"/>
      <c r="AF1194" s="54"/>
      <c r="AG1194" s="54"/>
      <c r="AH1194" s="53"/>
      <c r="AI1194" s="53" t="s">
        <v>1591</v>
      </c>
      <c r="AJ1194" s="53" t="s">
        <v>1591</v>
      </c>
    </row>
    <row r="1195" spans="1:36" s="3" customFormat="1" ht="60" x14ac:dyDescent="0.25">
      <c r="A1195" s="17" t="s">
        <v>1596</v>
      </c>
      <c r="B1195" s="18" t="s">
        <v>37</v>
      </c>
      <c r="C1195" s="19" t="s">
        <v>1601</v>
      </c>
      <c r="D1195" s="45" t="s">
        <v>1602</v>
      </c>
      <c r="E1195" s="50" t="s">
        <v>46</v>
      </c>
      <c r="F1195" s="58" t="s">
        <v>815</v>
      </c>
      <c r="G1195" s="51" t="s">
        <v>46</v>
      </c>
      <c r="H1195" s="51" t="s">
        <v>46</v>
      </c>
      <c r="I1195" s="50" t="s">
        <v>1599</v>
      </c>
      <c r="J1195" s="58" t="s">
        <v>1600</v>
      </c>
      <c r="K1195" s="52" t="s">
        <v>331</v>
      </c>
      <c r="L1195" s="59">
        <v>42426</v>
      </c>
      <c r="M1195" s="60">
        <f>L1195+240</f>
        <v>42666</v>
      </c>
      <c r="N1195" s="51">
        <v>1212832.48</v>
      </c>
      <c r="O1195" s="59" t="s">
        <v>46</v>
      </c>
      <c r="P1195" s="59" t="s">
        <v>46</v>
      </c>
      <c r="Q1195" s="51"/>
      <c r="R1195" s="51">
        <f t="shared" ref="R1195:R1199" si="46">N1195+Q1195</f>
        <v>1212832.48</v>
      </c>
      <c r="S1195" s="51" t="s">
        <v>46</v>
      </c>
      <c r="T1195" s="52" t="s">
        <v>52</v>
      </c>
      <c r="U1195" s="51"/>
      <c r="V1195" s="51"/>
      <c r="W1195" s="51"/>
      <c r="X1195" s="51" t="s">
        <v>3364</v>
      </c>
      <c r="Y1195" s="19" t="s">
        <v>133</v>
      </c>
      <c r="Z1195" s="19"/>
      <c r="AA1195" s="28" t="s">
        <v>8038</v>
      </c>
      <c r="AB1195" s="56">
        <v>43424</v>
      </c>
      <c r="AC1195" s="28" t="s">
        <v>8039</v>
      </c>
      <c r="AD1195" s="28" t="s">
        <v>8040</v>
      </c>
      <c r="AE1195" s="54" t="s">
        <v>8041</v>
      </c>
      <c r="AF1195" s="54"/>
      <c r="AG1195" s="54" t="s">
        <v>8042</v>
      </c>
      <c r="AH1195" s="53" t="s">
        <v>1591</v>
      </c>
      <c r="AI1195" s="53" t="s">
        <v>2686</v>
      </c>
      <c r="AJ1195" s="53" t="s">
        <v>1591</v>
      </c>
    </row>
    <row r="1196" spans="1:36" s="3" customFormat="1" ht="48" x14ac:dyDescent="0.25">
      <c r="A1196" s="17" t="s">
        <v>1596</v>
      </c>
      <c r="B1196" s="18" t="s">
        <v>37</v>
      </c>
      <c r="C1196" s="19" t="s">
        <v>3105</v>
      </c>
      <c r="D1196" s="45" t="s">
        <v>3106</v>
      </c>
      <c r="E1196" s="50"/>
      <c r="F1196" s="58" t="s">
        <v>661</v>
      </c>
      <c r="G1196" s="51" t="s">
        <v>46</v>
      </c>
      <c r="H1196" s="51" t="s">
        <v>46</v>
      </c>
      <c r="I1196" s="50" t="s">
        <v>785</v>
      </c>
      <c r="J1196" s="58" t="s">
        <v>1598</v>
      </c>
      <c r="K1196" s="52" t="s">
        <v>323</v>
      </c>
      <c r="L1196" s="59">
        <v>42116</v>
      </c>
      <c r="M1196" s="60">
        <f>L1196+90</f>
        <v>42206</v>
      </c>
      <c r="N1196" s="51">
        <v>381986.54</v>
      </c>
      <c r="O1196" s="59"/>
      <c r="P1196" s="59"/>
      <c r="Q1196" s="51">
        <v>93888.94</v>
      </c>
      <c r="R1196" s="51">
        <f t="shared" si="46"/>
        <v>475875.48</v>
      </c>
      <c r="S1196" s="51"/>
      <c r="T1196" s="52" t="s">
        <v>52</v>
      </c>
      <c r="U1196" s="51"/>
      <c r="V1196" s="51"/>
      <c r="W1196" s="51"/>
      <c r="X1196" s="51">
        <v>345148.05</v>
      </c>
      <c r="Y1196" s="19" t="s">
        <v>133</v>
      </c>
      <c r="Z1196" s="19"/>
      <c r="AA1196" s="28" t="s">
        <v>8038</v>
      </c>
      <c r="AB1196" s="56">
        <v>43424</v>
      </c>
      <c r="AC1196" s="28" t="s">
        <v>8039</v>
      </c>
      <c r="AD1196" s="28" t="s">
        <v>8040</v>
      </c>
      <c r="AE1196" s="54" t="s">
        <v>8043</v>
      </c>
      <c r="AF1196" s="54"/>
      <c r="AG1196" s="54" t="s">
        <v>8044</v>
      </c>
      <c r="AH1196" s="53" t="s">
        <v>1591</v>
      </c>
      <c r="AI1196" s="53" t="s">
        <v>2686</v>
      </c>
      <c r="AJ1196" s="53" t="s">
        <v>1591</v>
      </c>
    </row>
    <row r="1197" spans="1:36" s="3" customFormat="1" ht="72" x14ac:dyDescent="0.25">
      <c r="A1197" s="17" t="s">
        <v>1596</v>
      </c>
      <c r="B1197" s="18" t="s">
        <v>37</v>
      </c>
      <c r="C1197" s="19" t="s">
        <v>3107</v>
      </c>
      <c r="D1197" s="45" t="s">
        <v>3108</v>
      </c>
      <c r="E1197" s="50"/>
      <c r="F1197" s="58" t="s">
        <v>661</v>
      </c>
      <c r="G1197" s="51" t="s">
        <v>46</v>
      </c>
      <c r="H1197" s="51" t="s">
        <v>46</v>
      </c>
      <c r="I1197" s="50" t="s">
        <v>785</v>
      </c>
      <c r="J1197" s="58" t="s">
        <v>1598</v>
      </c>
      <c r="K1197" s="52" t="s">
        <v>833</v>
      </c>
      <c r="L1197" s="59">
        <v>42116</v>
      </c>
      <c r="M1197" s="60">
        <f>L1197+180</f>
        <v>42296</v>
      </c>
      <c r="N1197" s="51">
        <v>326531.87</v>
      </c>
      <c r="O1197" s="59"/>
      <c r="P1197" s="59"/>
      <c r="Q1197" s="51">
        <v>56484.07</v>
      </c>
      <c r="R1197" s="51">
        <f t="shared" si="46"/>
        <v>383015.94</v>
      </c>
      <c r="S1197" s="51"/>
      <c r="T1197" s="52" t="s">
        <v>52</v>
      </c>
      <c r="U1197" s="51"/>
      <c r="V1197" s="51"/>
      <c r="W1197" s="51"/>
      <c r="X1197" s="51">
        <v>212599.5</v>
      </c>
      <c r="Y1197" s="19" t="s">
        <v>133</v>
      </c>
      <c r="Z1197" s="19"/>
      <c r="AA1197" s="28" t="s">
        <v>8038</v>
      </c>
      <c r="AB1197" s="56">
        <v>43424</v>
      </c>
      <c r="AC1197" s="28" t="s">
        <v>8039</v>
      </c>
      <c r="AD1197" s="28" t="s">
        <v>8040</v>
      </c>
      <c r="AE1197" s="54" t="s">
        <v>8045</v>
      </c>
      <c r="AF1197" s="54"/>
      <c r="AG1197" s="54" t="s">
        <v>885</v>
      </c>
      <c r="AH1197" s="53" t="s">
        <v>1591</v>
      </c>
      <c r="AI1197" s="53" t="s">
        <v>2686</v>
      </c>
      <c r="AJ1197" s="53" t="s">
        <v>1591</v>
      </c>
    </row>
    <row r="1198" spans="1:36" s="3" customFormat="1" ht="72" x14ac:dyDescent="0.25">
      <c r="A1198" s="17" t="s">
        <v>1596</v>
      </c>
      <c r="B1198" s="18" t="s">
        <v>37</v>
      </c>
      <c r="C1198" s="19" t="s">
        <v>3111</v>
      </c>
      <c r="D1198" s="45"/>
      <c r="E1198" s="50"/>
      <c r="F1198" s="58"/>
      <c r="G1198" s="51"/>
      <c r="H1198" s="51"/>
      <c r="I1198" s="50" t="s">
        <v>700</v>
      </c>
      <c r="J1198" s="58" t="s">
        <v>1137</v>
      </c>
      <c r="K1198" s="52" t="s">
        <v>2897</v>
      </c>
      <c r="L1198" s="59">
        <v>42965</v>
      </c>
      <c r="M1198" s="60">
        <f>L1198+12*30</f>
        <v>43325</v>
      </c>
      <c r="N1198" s="51">
        <v>284998.89</v>
      </c>
      <c r="O1198" s="59"/>
      <c r="P1198" s="59"/>
      <c r="Q1198" s="51"/>
      <c r="R1198" s="51">
        <f t="shared" si="46"/>
        <v>284998.89</v>
      </c>
      <c r="S1198" s="51"/>
      <c r="T1198" s="52" t="s">
        <v>81</v>
      </c>
      <c r="U1198" s="51">
        <v>31220.720000000001</v>
      </c>
      <c r="V1198" s="51">
        <v>31220.720000000001</v>
      </c>
      <c r="W1198" s="51">
        <v>31220.720000000001</v>
      </c>
      <c r="X1198" s="51">
        <v>31220.720000000001</v>
      </c>
      <c r="Y1198" s="19" t="s">
        <v>133</v>
      </c>
      <c r="Z1198" s="19" t="s">
        <v>4310</v>
      </c>
      <c r="AA1198" s="28" t="s">
        <v>8038</v>
      </c>
      <c r="AB1198" s="56">
        <v>43424</v>
      </c>
      <c r="AC1198" s="28" t="s">
        <v>8039</v>
      </c>
      <c r="AD1198" s="28" t="s">
        <v>8040</v>
      </c>
      <c r="AE1198" s="54" t="s">
        <v>8046</v>
      </c>
      <c r="AF1198" s="54"/>
      <c r="AG1198" s="54" t="s">
        <v>8047</v>
      </c>
      <c r="AH1198" s="53" t="s">
        <v>1591</v>
      </c>
      <c r="AI1198" s="53" t="s">
        <v>2686</v>
      </c>
      <c r="AJ1198" s="53" t="s">
        <v>1591</v>
      </c>
    </row>
    <row r="1199" spans="1:36" s="3" customFormat="1" ht="72" x14ac:dyDescent="0.25">
      <c r="A1199" s="17" t="s">
        <v>1596</v>
      </c>
      <c r="B1199" s="18" t="s">
        <v>37</v>
      </c>
      <c r="C1199" s="19" t="s">
        <v>3109</v>
      </c>
      <c r="D1199" s="45" t="s">
        <v>3110</v>
      </c>
      <c r="E1199" s="50"/>
      <c r="F1199" s="58" t="s">
        <v>815</v>
      </c>
      <c r="G1199" s="51"/>
      <c r="H1199" s="51"/>
      <c r="I1199" s="50" t="s">
        <v>779</v>
      </c>
      <c r="J1199" s="58" t="s">
        <v>1597</v>
      </c>
      <c r="K1199" s="52" t="s">
        <v>1105</v>
      </c>
      <c r="L1199" s="59">
        <v>42219</v>
      </c>
      <c r="M1199" s="60">
        <f>L1199+90</f>
        <v>42309</v>
      </c>
      <c r="N1199" s="51">
        <v>207873.98</v>
      </c>
      <c r="O1199" s="59"/>
      <c r="P1199" s="59"/>
      <c r="Q1199" s="51"/>
      <c r="R1199" s="51">
        <f t="shared" si="46"/>
        <v>207873.98</v>
      </c>
      <c r="S1199" s="51"/>
      <c r="T1199" s="52" t="s">
        <v>52</v>
      </c>
      <c r="U1199" s="51"/>
      <c r="V1199" s="51"/>
      <c r="W1199" s="51"/>
      <c r="X1199" s="51">
        <v>63667.15</v>
      </c>
      <c r="Y1199" s="19" t="s">
        <v>133</v>
      </c>
      <c r="Z1199" s="19"/>
      <c r="AA1199" s="28" t="s">
        <v>8038</v>
      </c>
      <c r="AB1199" s="56">
        <v>43424</v>
      </c>
      <c r="AC1199" s="28" t="s">
        <v>8039</v>
      </c>
      <c r="AD1199" s="28" t="s">
        <v>8040</v>
      </c>
      <c r="AE1199" s="54" t="s">
        <v>8046</v>
      </c>
      <c r="AF1199" s="54"/>
      <c r="AG1199" s="54" t="s">
        <v>8047</v>
      </c>
      <c r="AH1199" s="53" t="s">
        <v>1591</v>
      </c>
      <c r="AI1199" s="53" t="s">
        <v>2686</v>
      </c>
      <c r="AJ1199" s="53" t="s">
        <v>1591</v>
      </c>
    </row>
    <row r="1200" spans="1:36" s="3" customFormat="1" ht="36" x14ac:dyDescent="0.25">
      <c r="A1200" s="35" t="s">
        <v>2846</v>
      </c>
      <c r="B1200" s="18" t="s">
        <v>37</v>
      </c>
      <c r="C1200" s="76"/>
      <c r="D1200" s="43" t="s">
        <v>6308</v>
      </c>
      <c r="E1200" s="78"/>
      <c r="F1200" s="36" t="s">
        <v>1453</v>
      </c>
      <c r="G1200" s="80"/>
      <c r="H1200" s="80"/>
      <c r="I1200" s="36" t="s">
        <v>785</v>
      </c>
      <c r="J1200" s="34" t="s">
        <v>1598</v>
      </c>
      <c r="K1200" s="37" t="s">
        <v>4417</v>
      </c>
      <c r="L1200" s="38">
        <v>41550</v>
      </c>
      <c r="M1200" s="39">
        <v>41640</v>
      </c>
      <c r="N1200" s="42">
        <v>162416.59</v>
      </c>
      <c r="O1200" s="85" t="s">
        <v>46</v>
      </c>
      <c r="P1200" s="86">
        <v>41730</v>
      </c>
      <c r="Q1200" s="41"/>
      <c r="R1200" s="41">
        <v>162416.59</v>
      </c>
      <c r="S1200" s="80"/>
      <c r="T1200" s="81"/>
      <c r="U1200" s="80"/>
      <c r="V1200" s="80"/>
      <c r="W1200" s="42"/>
      <c r="X1200" s="42">
        <v>123019.66</v>
      </c>
      <c r="Y1200" s="34" t="s">
        <v>4321</v>
      </c>
      <c r="Z1200" s="19" t="s">
        <v>7038</v>
      </c>
      <c r="AA1200" s="28" t="s">
        <v>8038</v>
      </c>
      <c r="AB1200" s="56">
        <v>43424</v>
      </c>
      <c r="AC1200" s="28" t="s">
        <v>8039</v>
      </c>
      <c r="AD1200" s="28" t="s">
        <v>8040</v>
      </c>
      <c r="AE1200" s="54"/>
      <c r="AF1200" s="54"/>
      <c r="AG1200" s="54"/>
      <c r="AH1200" s="53"/>
      <c r="AI1200" s="53" t="s">
        <v>1591</v>
      </c>
      <c r="AJ1200" s="53" t="s">
        <v>1591</v>
      </c>
    </row>
    <row r="1201" spans="1:36" s="3" customFormat="1" ht="48" x14ac:dyDescent="0.25">
      <c r="A1201" s="17" t="s">
        <v>1603</v>
      </c>
      <c r="B1201" s="18" t="s">
        <v>37</v>
      </c>
      <c r="C1201" s="76" t="s">
        <v>6309</v>
      </c>
      <c r="D1201" s="45" t="s">
        <v>6310</v>
      </c>
      <c r="E1201" s="78"/>
      <c r="F1201" s="79"/>
      <c r="G1201" s="80"/>
      <c r="H1201" s="80"/>
      <c r="I1201" s="78" t="s">
        <v>6311</v>
      </c>
      <c r="J1201" s="79" t="s">
        <v>6312</v>
      </c>
      <c r="K1201" s="81" t="s">
        <v>1604</v>
      </c>
      <c r="L1201" s="82">
        <v>42375</v>
      </c>
      <c r="M1201" s="83">
        <v>42495</v>
      </c>
      <c r="N1201" s="80">
        <v>1568659.64</v>
      </c>
      <c r="O1201" s="82">
        <v>42379</v>
      </c>
      <c r="P1201" s="84"/>
      <c r="Q1201" s="80">
        <v>0</v>
      </c>
      <c r="R1201" s="80">
        <v>1568659.64</v>
      </c>
      <c r="S1201" s="80"/>
      <c r="T1201" s="81"/>
      <c r="U1201" s="80"/>
      <c r="V1201" s="80"/>
      <c r="W1201" s="80"/>
      <c r="X1201" s="80"/>
      <c r="Y1201" s="76" t="s">
        <v>646</v>
      </c>
      <c r="Z1201" s="19" t="s">
        <v>7038</v>
      </c>
      <c r="AA1201" s="28"/>
      <c r="AB1201" s="56"/>
      <c r="AC1201" s="28"/>
      <c r="AD1201" s="28"/>
      <c r="AE1201" s="54"/>
      <c r="AF1201" s="54"/>
      <c r="AG1201" s="54"/>
      <c r="AH1201" s="53"/>
      <c r="AI1201" s="53" t="s">
        <v>1591</v>
      </c>
      <c r="AJ1201" s="53" t="s">
        <v>1591</v>
      </c>
    </row>
    <row r="1202" spans="1:36" s="3" customFormat="1" ht="24" x14ac:dyDescent="0.25">
      <c r="A1202" s="17" t="s">
        <v>1603</v>
      </c>
      <c r="B1202" s="18" t="s">
        <v>37</v>
      </c>
      <c r="C1202" s="19" t="s">
        <v>3112</v>
      </c>
      <c r="D1202" s="45" t="s">
        <v>3113</v>
      </c>
      <c r="E1202" s="50"/>
      <c r="F1202" s="58"/>
      <c r="G1202" s="51"/>
      <c r="H1202" s="51"/>
      <c r="I1202" s="50" t="s">
        <v>1505</v>
      </c>
      <c r="J1202" s="58" t="s">
        <v>3284</v>
      </c>
      <c r="K1202" s="52" t="s">
        <v>3142</v>
      </c>
      <c r="L1202" s="59">
        <v>42945</v>
      </c>
      <c r="M1202" s="60">
        <f>L1202+150</f>
        <v>43095</v>
      </c>
      <c r="N1202" s="51">
        <v>369607.1</v>
      </c>
      <c r="O1202" s="59"/>
      <c r="P1202" s="59"/>
      <c r="Q1202" s="51"/>
      <c r="R1202" s="51">
        <f>N1202+Q1202</f>
        <v>369607.1</v>
      </c>
      <c r="S1202" s="51"/>
      <c r="T1202" s="52"/>
      <c r="U1202" s="51">
        <v>0</v>
      </c>
      <c r="V1202" s="51">
        <v>0</v>
      </c>
      <c r="W1202" s="51">
        <v>0</v>
      </c>
      <c r="X1202" s="51">
        <v>0</v>
      </c>
      <c r="Y1202" s="19" t="s">
        <v>133</v>
      </c>
      <c r="Z1202" s="19"/>
      <c r="AA1202" s="28"/>
      <c r="AB1202" s="56"/>
      <c r="AC1202" s="28"/>
      <c r="AD1202" s="28"/>
      <c r="AE1202" s="54"/>
      <c r="AF1202" s="54"/>
      <c r="AG1202" s="54"/>
      <c r="AH1202" s="53"/>
      <c r="AI1202" s="53" t="s">
        <v>1591</v>
      </c>
      <c r="AJ1202" s="53" t="s">
        <v>1591</v>
      </c>
    </row>
    <row r="1203" spans="1:36" s="3" customFormat="1" ht="36" x14ac:dyDescent="0.25">
      <c r="A1203" s="17" t="s">
        <v>1603</v>
      </c>
      <c r="B1203" s="18" t="s">
        <v>37</v>
      </c>
      <c r="C1203" s="76" t="s">
        <v>34</v>
      </c>
      <c r="D1203" s="45" t="s">
        <v>6314</v>
      </c>
      <c r="E1203" s="78"/>
      <c r="F1203" s="79"/>
      <c r="G1203" s="80"/>
      <c r="H1203" s="80"/>
      <c r="I1203" s="78" t="s">
        <v>1470</v>
      </c>
      <c r="J1203" s="79" t="s">
        <v>6313</v>
      </c>
      <c r="K1203" s="81" t="s">
        <v>242</v>
      </c>
      <c r="L1203" s="82">
        <v>42451</v>
      </c>
      <c r="M1203" s="83">
        <v>42541</v>
      </c>
      <c r="N1203" s="80">
        <v>135354.26999999999</v>
      </c>
      <c r="O1203" s="82" t="s">
        <v>6315</v>
      </c>
      <c r="P1203" s="84"/>
      <c r="Q1203" s="80">
        <v>0</v>
      </c>
      <c r="R1203" s="80">
        <v>135354.26999999999</v>
      </c>
      <c r="S1203" s="80"/>
      <c r="T1203" s="81"/>
      <c r="U1203" s="80"/>
      <c r="V1203" s="80"/>
      <c r="W1203" s="80"/>
      <c r="X1203" s="80"/>
      <c r="Y1203" s="76" t="s">
        <v>646</v>
      </c>
      <c r="Z1203" s="19" t="s">
        <v>7038</v>
      </c>
      <c r="AA1203" s="28"/>
      <c r="AB1203" s="56"/>
      <c r="AC1203" s="28"/>
      <c r="AD1203" s="28"/>
      <c r="AE1203" s="54"/>
      <c r="AF1203" s="54"/>
      <c r="AG1203" s="54"/>
      <c r="AH1203" s="53"/>
      <c r="AI1203" s="53" t="s">
        <v>1591</v>
      </c>
      <c r="AJ1203" s="53" t="s">
        <v>1591</v>
      </c>
    </row>
    <row r="1204" spans="1:36" s="3" customFormat="1" ht="36" x14ac:dyDescent="0.25">
      <c r="A1204" s="17" t="s">
        <v>1603</v>
      </c>
      <c r="B1204" s="18" t="s">
        <v>37</v>
      </c>
      <c r="C1204" s="76" t="s">
        <v>676</v>
      </c>
      <c r="D1204" s="45" t="s">
        <v>6316</v>
      </c>
      <c r="E1204" s="78"/>
      <c r="F1204" s="79"/>
      <c r="G1204" s="80"/>
      <c r="H1204" s="80"/>
      <c r="I1204" s="78" t="s">
        <v>6317</v>
      </c>
      <c r="J1204" s="79" t="s">
        <v>6318</v>
      </c>
      <c r="K1204" s="81" t="s">
        <v>241</v>
      </c>
      <c r="L1204" s="82">
        <v>42464</v>
      </c>
      <c r="M1204" s="83">
        <v>42554</v>
      </c>
      <c r="N1204" s="80">
        <v>106131</v>
      </c>
      <c r="O1204" s="82">
        <v>42467</v>
      </c>
      <c r="P1204" s="84" t="s">
        <v>6319</v>
      </c>
      <c r="Q1204" s="80">
        <v>0</v>
      </c>
      <c r="R1204" s="80">
        <v>106131</v>
      </c>
      <c r="S1204" s="80"/>
      <c r="T1204" s="81"/>
      <c r="U1204" s="80"/>
      <c r="V1204" s="80"/>
      <c r="W1204" s="80"/>
      <c r="X1204" s="80"/>
      <c r="Y1204" s="76" t="s">
        <v>646</v>
      </c>
      <c r="Z1204" s="19" t="s">
        <v>7038</v>
      </c>
      <c r="AA1204" s="28"/>
      <c r="AB1204" s="56"/>
      <c r="AC1204" s="28"/>
      <c r="AD1204" s="28"/>
      <c r="AE1204" s="54"/>
      <c r="AF1204" s="54"/>
      <c r="AG1204" s="54"/>
      <c r="AH1204" s="53"/>
      <c r="AI1204" s="53" t="s">
        <v>1591</v>
      </c>
      <c r="AJ1204" s="53" t="s">
        <v>1591</v>
      </c>
    </row>
    <row r="1205" spans="1:36" s="3" customFormat="1" ht="36" x14ac:dyDescent="0.25">
      <c r="A1205" s="17" t="s">
        <v>1603</v>
      </c>
      <c r="B1205" s="18" t="s">
        <v>37</v>
      </c>
      <c r="C1205" s="76" t="s">
        <v>34</v>
      </c>
      <c r="D1205" s="45" t="s">
        <v>6320</v>
      </c>
      <c r="E1205" s="78"/>
      <c r="F1205" s="79"/>
      <c r="G1205" s="80"/>
      <c r="H1205" s="80"/>
      <c r="I1205" s="78" t="s">
        <v>1470</v>
      </c>
      <c r="J1205" s="79" t="s">
        <v>6313</v>
      </c>
      <c r="K1205" s="81" t="s">
        <v>114</v>
      </c>
      <c r="L1205" s="82">
        <v>42451</v>
      </c>
      <c r="M1205" s="83">
        <v>42511</v>
      </c>
      <c r="N1205" s="80">
        <v>31494.04</v>
      </c>
      <c r="O1205" s="82" t="s">
        <v>6321</v>
      </c>
      <c r="P1205" s="84"/>
      <c r="Q1205" s="80">
        <v>0</v>
      </c>
      <c r="R1205" s="80">
        <v>31494.04</v>
      </c>
      <c r="S1205" s="80"/>
      <c r="T1205" s="81"/>
      <c r="U1205" s="80"/>
      <c r="V1205" s="80"/>
      <c r="W1205" s="80"/>
      <c r="X1205" s="80"/>
      <c r="Y1205" s="76" t="s">
        <v>646</v>
      </c>
      <c r="Z1205" s="19" t="s">
        <v>7038</v>
      </c>
      <c r="AA1205" s="28"/>
      <c r="AB1205" s="56"/>
      <c r="AC1205" s="28"/>
      <c r="AD1205" s="28"/>
      <c r="AE1205" s="54"/>
      <c r="AF1205" s="54"/>
      <c r="AG1205" s="54"/>
      <c r="AH1205" s="53"/>
      <c r="AI1205" s="53" t="s">
        <v>1591</v>
      </c>
      <c r="AJ1205" s="53" t="s">
        <v>1591</v>
      </c>
    </row>
    <row r="1206" spans="1:36" s="3" customFormat="1" ht="36" x14ac:dyDescent="0.25">
      <c r="A1206" s="17" t="s">
        <v>1603</v>
      </c>
      <c r="B1206" s="18" t="s">
        <v>37</v>
      </c>
      <c r="C1206" s="76" t="s">
        <v>34</v>
      </c>
      <c r="D1206" s="45" t="s">
        <v>6322</v>
      </c>
      <c r="E1206" s="78"/>
      <c r="F1206" s="79"/>
      <c r="G1206" s="80"/>
      <c r="H1206" s="80"/>
      <c r="I1206" s="78" t="s">
        <v>1470</v>
      </c>
      <c r="J1206" s="79" t="s">
        <v>6313</v>
      </c>
      <c r="K1206" s="81" t="s">
        <v>108</v>
      </c>
      <c r="L1206" s="82">
        <v>42451</v>
      </c>
      <c r="M1206" s="83">
        <v>42511</v>
      </c>
      <c r="N1206" s="80">
        <v>26613.95</v>
      </c>
      <c r="O1206" s="82" t="s">
        <v>6321</v>
      </c>
      <c r="P1206" s="84"/>
      <c r="Q1206" s="80">
        <v>0</v>
      </c>
      <c r="R1206" s="80">
        <v>26613.95</v>
      </c>
      <c r="S1206" s="80"/>
      <c r="T1206" s="81"/>
      <c r="U1206" s="80"/>
      <c r="V1206" s="80"/>
      <c r="W1206" s="80"/>
      <c r="X1206" s="80"/>
      <c r="Y1206" s="76" t="s">
        <v>646</v>
      </c>
      <c r="Z1206" s="19" t="s">
        <v>7038</v>
      </c>
      <c r="AA1206" s="28"/>
      <c r="AB1206" s="56"/>
      <c r="AC1206" s="28"/>
      <c r="AD1206" s="28"/>
      <c r="AE1206" s="54"/>
      <c r="AF1206" s="54"/>
      <c r="AG1206" s="54"/>
      <c r="AH1206" s="53"/>
      <c r="AI1206" s="53" t="s">
        <v>1591</v>
      </c>
      <c r="AJ1206" s="53" t="s">
        <v>1591</v>
      </c>
    </row>
    <row r="1207" spans="1:36" s="3" customFormat="1" ht="72" x14ac:dyDescent="0.25">
      <c r="A1207" s="17" t="s">
        <v>1605</v>
      </c>
      <c r="B1207" s="18" t="s">
        <v>37</v>
      </c>
      <c r="C1207" s="19" t="s">
        <v>1630</v>
      </c>
      <c r="D1207" s="45" t="s">
        <v>1631</v>
      </c>
      <c r="E1207" s="50" t="s">
        <v>1632</v>
      </c>
      <c r="F1207" s="58" t="s">
        <v>1363</v>
      </c>
      <c r="G1207" s="51">
        <v>10311366.560000001</v>
      </c>
      <c r="H1207" s="51">
        <v>4043679.9</v>
      </c>
      <c r="I1207" s="50" t="s">
        <v>689</v>
      </c>
      <c r="J1207" s="58" t="s">
        <v>690</v>
      </c>
      <c r="K1207" s="52" t="s">
        <v>1633</v>
      </c>
      <c r="L1207" s="59">
        <v>40855</v>
      </c>
      <c r="M1207" s="60">
        <f>L1207+12*30</f>
        <v>41215</v>
      </c>
      <c r="N1207" s="51">
        <v>9148829.2799999993</v>
      </c>
      <c r="O1207" s="59">
        <v>41220</v>
      </c>
      <c r="P1207" s="59">
        <v>42460</v>
      </c>
      <c r="Q1207" s="51">
        <v>1253479.94</v>
      </c>
      <c r="R1207" s="51">
        <f t="shared" ref="R1207:R1233" si="47">N1207+Q1207</f>
        <v>10402309.219999999</v>
      </c>
      <c r="S1207" s="51"/>
      <c r="T1207" s="52" t="s">
        <v>45</v>
      </c>
      <c r="U1207" s="51">
        <v>9504996.4399999995</v>
      </c>
      <c r="V1207" s="51" t="s">
        <v>46</v>
      </c>
      <c r="W1207" s="51"/>
      <c r="X1207" s="51"/>
      <c r="Y1207" s="19" t="s">
        <v>1622</v>
      </c>
      <c r="Z1207" s="19"/>
      <c r="AA1207" s="28" t="s">
        <v>8460</v>
      </c>
      <c r="AB1207" s="56">
        <v>43455</v>
      </c>
      <c r="AC1207" s="28" t="s">
        <v>8461</v>
      </c>
      <c r="AD1207" s="102" t="s">
        <v>8462</v>
      </c>
      <c r="AE1207" s="54" t="s">
        <v>8465</v>
      </c>
      <c r="AF1207" s="54"/>
      <c r="AG1207" s="54" t="s">
        <v>1661</v>
      </c>
      <c r="AH1207" s="53" t="s">
        <v>1591</v>
      </c>
      <c r="AI1207" s="53" t="s">
        <v>2686</v>
      </c>
      <c r="AJ1207" s="53" t="s">
        <v>1591</v>
      </c>
    </row>
    <row r="1208" spans="1:36" s="3" customFormat="1" ht="72" x14ac:dyDescent="0.25">
      <c r="A1208" s="17" t="s">
        <v>1605</v>
      </c>
      <c r="B1208" s="18" t="s">
        <v>37</v>
      </c>
      <c r="C1208" s="19" t="s">
        <v>1626</v>
      </c>
      <c r="D1208" s="45" t="s">
        <v>1627</v>
      </c>
      <c r="E1208" s="50" t="s">
        <v>1628</v>
      </c>
      <c r="F1208" s="58" t="s">
        <v>1363</v>
      </c>
      <c r="G1208" s="51">
        <v>4057420.15</v>
      </c>
      <c r="H1208" s="51">
        <v>1546836.47</v>
      </c>
      <c r="I1208" s="50" t="s">
        <v>524</v>
      </c>
      <c r="J1208" s="58" t="s">
        <v>1609</v>
      </c>
      <c r="K1208" s="52" t="s">
        <v>1629</v>
      </c>
      <c r="L1208" s="59">
        <v>40858</v>
      </c>
      <c r="M1208" s="60">
        <f>L1208+12*30</f>
        <v>41218</v>
      </c>
      <c r="N1208" s="51">
        <v>4600129.2300000004</v>
      </c>
      <c r="O1208" s="59" t="s">
        <v>3315</v>
      </c>
      <c r="P1208" s="59">
        <v>42369</v>
      </c>
      <c r="Q1208" s="51">
        <v>950057.05</v>
      </c>
      <c r="R1208" s="51">
        <f t="shared" si="47"/>
        <v>5550186.2800000003</v>
      </c>
      <c r="S1208" s="51"/>
      <c r="T1208" s="52" t="s">
        <v>45</v>
      </c>
      <c r="U1208" s="51" t="s">
        <v>3365</v>
      </c>
      <c r="V1208" s="51" t="s">
        <v>46</v>
      </c>
      <c r="W1208" s="51"/>
      <c r="X1208" s="51"/>
      <c r="Y1208" s="19" t="s">
        <v>1612</v>
      </c>
      <c r="Z1208" s="19"/>
      <c r="AA1208" s="28" t="s">
        <v>8460</v>
      </c>
      <c r="AB1208" s="56">
        <v>43455</v>
      </c>
      <c r="AC1208" s="28" t="s">
        <v>8461</v>
      </c>
      <c r="AD1208" s="102" t="s">
        <v>8462</v>
      </c>
      <c r="AE1208" s="103" t="s">
        <v>8466</v>
      </c>
      <c r="AF1208" s="54"/>
      <c r="AG1208" s="54" t="s">
        <v>1661</v>
      </c>
      <c r="AH1208" s="53" t="s">
        <v>1591</v>
      </c>
      <c r="AI1208" s="53" t="s">
        <v>2686</v>
      </c>
      <c r="AJ1208" s="53" t="s">
        <v>1591</v>
      </c>
    </row>
    <row r="1209" spans="1:36" s="3" customFormat="1" ht="72" x14ac:dyDescent="0.25">
      <c r="A1209" s="17" t="s">
        <v>1605</v>
      </c>
      <c r="B1209" s="18" t="s">
        <v>37</v>
      </c>
      <c r="C1209" s="19" t="s">
        <v>1662</v>
      </c>
      <c r="D1209" s="45" t="s">
        <v>1663</v>
      </c>
      <c r="E1209" s="50" t="s">
        <v>1664</v>
      </c>
      <c r="F1209" s="58" t="s">
        <v>1363</v>
      </c>
      <c r="G1209" s="51">
        <v>3018569.98</v>
      </c>
      <c r="H1209" s="51">
        <v>581422.34</v>
      </c>
      <c r="I1209" s="50" t="s">
        <v>524</v>
      </c>
      <c r="J1209" s="58" t="s">
        <v>1609</v>
      </c>
      <c r="K1209" s="52" t="s">
        <v>929</v>
      </c>
      <c r="L1209" s="59">
        <v>41523</v>
      </c>
      <c r="M1209" s="60">
        <f>L1209+16*30</f>
        <v>42003</v>
      </c>
      <c r="N1209" s="51">
        <v>3599992.32</v>
      </c>
      <c r="O1209" s="59">
        <v>42009</v>
      </c>
      <c r="P1209" s="59" t="s">
        <v>3316</v>
      </c>
      <c r="Q1209" s="51">
        <f>3319969.04-N1209</f>
        <v>-280023.2799999998</v>
      </c>
      <c r="R1209" s="51">
        <f t="shared" si="47"/>
        <v>3319969.04</v>
      </c>
      <c r="S1209" s="51"/>
      <c r="T1209" s="52" t="s">
        <v>52</v>
      </c>
      <c r="U1209" s="51">
        <v>2911696.27</v>
      </c>
      <c r="V1209" s="51" t="s">
        <v>46</v>
      </c>
      <c r="W1209" s="51"/>
      <c r="X1209" s="51"/>
      <c r="Y1209" s="19" t="s">
        <v>646</v>
      </c>
      <c r="Z1209" s="19"/>
      <c r="AA1209" s="28" t="s">
        <v>8460</v>
      </c>
      <c r="AB1209" s="56">
        <v>43455</v>
      </c>
      <c r="AC1209" s="28" t="s">
        <v>8461</v>
      </c>
      <c r="AD1209" s="102" t="s">
        <v>8462</v>
      </c>
      <c r="AE1209" s="103" t="s">
        <v>8467</v>
      </c>
      <c r="AF1209" s="54"/>
      <c r="AG1209" s="54" t="s">
        <v>1661</v>
      </c>
      <c r="AH1209" s="53" t="s">
        <v>1591</v>
      </c>
      <c r="AI1209" s="53" t="s">
        <v>2686</v>
      </c>
      <c r="AJ1209" s="53" t="s">
        <v>1591</v>
      </c>
    </row>
    <row r="1210" spans="1:36" s="3" customFormat="1" ht="72" x14ac:dyDescent="0.25">
      <c r="A1210" s="17" t="s">
        <v>1605</v>
      </c>
      <c r="B1210" s="18" t="s">
        <v>37</v>
      </c>
      <c r="C1210" s="19" t="s">
        <v>1755</v>
      </c>
      <c r="D1210" s="45" t="s">
        <v>1756</v>
      </c>
      <c r="E1210" s="50" t="s">
        <v>1757</v>
      </c>
      <c r="F1210" s="58"/>
      <c r="G1210" s="51">
        <v>1930500</v>
      </c>
      <c r="H1210" s="51">
        <v>162587.72</v>
      </c>
      <c r="I1210" s="50" t="s">
        <v>63</v>
      </c>
      <c r="J1210" s="58" t="s">
        <v>167</v>
      </c>
      <c r="K1210" s="52" t="s">
        <v>1758</v>
      </c>
      <c r="L1210" s="59">
        <v>42226</v>
      </c>
      <c r="M1210" s="60">
        <f>L1210+120</f>
        <v>42346</v>
      </c>
      <c r="N1210" s="51">
        <v>2093087.72</v>
      </c>
      <c r="O1210" s="59" t="s">
        <v>1759</v>
      </c>
      <c r="P1210" s="59">
        <f>M1210+300</f>
        <v>42646</v>
      </c>
      <c r="Q1210" s="51">
        <v>519767.97</v>
      </c>
      <c r="R1210" s="51">
        <f t="shared" si="47"/>
        <v>2612855.69</v>
      </c>
      <c r="S1210" s="51"/>
      <c r="T1210" s="52" t="s">
        <v>45</v>
      </c>
      <c r="U1210" s="51">
        <v>1952641.01</v>
      </c>
      <c r="V1210" s="51"/>
      <c r="W1210" s="51"/>
      <c r="X1210" s="51"/>
      <c r="Y1210" s="19" t="s">
        <v>646</v>
      </c>
      <c r="Z1210" s="19"/>
      <c r="AA1210" s="28" t="s">
        <v>8460</v>
      </c>
      <c r="AB1210" s="56">
        <v>43455</v>
      </c>
      <c r="AC1210" s="28" t="s">
        <v>8461</v>
      </c>
      <c r="AD1210" s="102" t="s">
        <v>8462</v>
      </c>
      <c r="AE1210" s="103" t="s">
        <v>8468</v>
      </c>
      <c r="AF1210" s="54"/>
      <c r="AG1210" s="54" t="s">
        <v>1661</v>
      </c>
      <c r="AH1210" s="53" t="s">
        <v>1591</v>
      </c>
      <c r="AI1210" s="53" t="s">
        <v>2686</v>
      </c>
      <c r="AJ1210" s="53" t="s">
        <v>1591</v>
      </c>
    </row>
    <row r="1211" spans="1:36" s="3" customFormat="1" ht="72" x14ac:dyDescent="0.25">
      <c r="A1211" s="17" t="s">
        <v>1605</v>
      </c>
      <c r="B1211" s="18" t="s">
        <v>37</v>
      </c>
      <c r="C1211" s="19" t="s">
        <v>1656</v>
      </c>
      <c r="D1211" s="45" t="s">
        <v>1657</v>
      </c>
      <c r="E1211" s="50" t="s">
        <v>1658</v>
      </c>
      <c r="F1211" s="58" t="s">
        <v>1659</v>
      </c>
      <c r="G1211" s="51">
        <v>1878050</v>
      </c>
      <c r="H1211" s="51">
        <v>208025.53</v>
      </c>
      <c r="I1211" s="50" t="s">
        <v>524</v>
      </c>
      <c r="J1211" s="58" t="s">
        <v>1609</v>
      </c>
      <c r="K1211" s="52" t="s">
        <v>1660</v>
      </c>
      <c r="L1211" s="59">
        <v>41386</v>
      </c>
      <c r="M1211" s="60">
        <f>L1211+210</f>
        <v>41596</v>
      </c>
      <c r="N1211" s="51">
        <v>2075962.87</v>
      </c>
      <c r="O1211" s="59">
        <v>42062</v>
      </c>
      <c r="P1211" s="59">
        <f>M1211+633</f>
        <v>42229</v>
      </c>
      <c r="Q1211" s="51">
        <f>1970032.88-N1211</f>
        <v>-105929.99000000022</v>
      </c>
      <c r="R1211" s="51">
        <f t="shared" si="47"/>
        <v>1970032.88</v>
      </c>
      <c r="S1211" s="51"/>
      <c r="T1211" s="52" t="s">
        <v>52</v>
      </c>
      <c r="U1211" s="51">
        <v>1967493.09</v>
      </c>
      <c r="V1211" s="51" t="s">
        <v>46</v>
      </c>
      <c r="W1211" s="51"/>
      <c r="X1211" s="51"/>
      <c r="Y1211" s="19" t="s">
        <v>1661</v>
      </c>
      <c r="Z1211" s="19"/>
      <c r="AA1211" s="28" t="s">
        <v>8460</v>
      </c>
      <c r="AB1211" s="56">
        <v>43455</v>
      </c>
      <c r="AC1211" s="28" t="s">
        <v>8461</v>
      </c>
      <c r="AD1211" s="102" t="s">
        <v>8462</v>
      </c>
      <c r="AE1211" s="54" t="s">
        <v>8464</v>
      </c>
      <c r="AF1211" s="54"/>
      <c r="AG1211" s="54" t="s">
        <v>1661</v>
      </c>
      <c r="AH1211" s="53" t="s">
        <v>1591</v>
      </c>
      <c r="AI1211" s="53" t="s">
        <v>2686</v>
      </c>
      <c r="AJ1211" s="53" t="s">
        <v>1591</v>
      </c>
    </row>
    <row r="1212" spans="1:36" s="3" customFormat="1" ht="72" x14ac:dyDescent="0.25">
      <c r="A1212" s="17" t="s">
        <v>1605</v>
      </c>
      <c r="B1212" s="18" t="s">
        <v>37</v>
      </c>
      <c r="C1212" s="19" t="s">
        <v>1743</v>
      </c>
      <c r="D1212" s="45" t="s">
        <v>1744</v>
      </c>
      <c r="E1212" s="50" t="s">
        <v>180</v>
      </c>
      <c r="F1212" s="58" t="s">
        <v>180</v>
      </c>
      <c r="G1212" s="51"/>
      <c r="H1212" s="51"/>
      <c r="I1212" s="50" t="s">
        <v>545</v>
      </c>
      <c r="J1212" s="58" t="s">
        <v>546</v>
      </c>
      <c r="K1212" s="52" t="s">
        <v>1745</v>
      </c>
      <c r="L1212" s="59">
        <v>42219</v>
      </c>
      <c r="M1212" s="60">
        <f>L1212+240</f>
        <v>42459</v>
      </c>
      <c r="N1212" s="51">
        <v>1398014.82</v>
      </c>
      <c r="O1212" s="59">
        <v>42463</v>
      </c>
      <c r="P1212" s="59">
        <f>M1212+2*30</f>
        <v>42519</v>
      </c>
      <c r="Q1212" s="51">
        <v>354816.34</v>
      </c>
      <c r="R1212" s="51">
        <f t="shared" si="47"/>
        <v>1752831.1600000001</v>
      </c>
      <c r="S1212" s="51"/>
      <c r="T1212" s="52" t="s">
        <v>45</v>
      </c>
      <c r="U1212" s="51">
        <v>1743232.13</v>
      </c>
      <c r="V1212" s="51"/>
      <c r="W1212" s="51"/>
      <c r="X1212" s="51"/>
      <c r="Y1212" s="19" t="s">
        <v>646</v>
      </c>
      <c r="Z1212" s="19"/>
      <c r="AA1212" s="28" t="s">
        <v>8460</v>
      </c>
      <c r="AB1212" s="56">
        <v>43455</v>
      </c>
      <c r="AC1212" s="28" t="s">
        <v>8461</v>
      </c>
      <c r="AD1212" s="102" t="s">
        <v>8462</v>
      </c>
      <c r="AE1212" s="54" t="s">
        <v>8463</v>
      </c>
      <c r="AF1212" s="54"/>
      <c r="AG1212" s="54" t="s">
        <v>1661</v>
      </c>
      <c r="AH1212" s="53" t="s">
        <v>1591</v>
      </c>
      <c r="AI1212" s="53" t="s">
        <v>2686</v>
      </c>
      <c r="AJ1212" s="53" t="s">
        <v>1591</v>
      </c>
    </row>
    <row r="1213" spans="1:36" s="3" customFormat="1" ht="60" x14ac:dyDescent="0.25">
      <c r="A1213" s="17" t="s">
        <v>1605</v>
      </c>
      <c r="B1213" s="18" t="s">
        <v>37</v>
      </c>
      <c r="C1213" s="19" t="s">
        <v>1606</v>
      </c>
      <c r="D1213" s="45" t="s">
        <v>1607</v>
      </c>
      <c r="E1213" s="50" t="s">
        <v>1608</v>
      </c>
      <c r="F1213" s="58" t="s">
        <v>1412</v>
      </c>
      <c r="G1213" s="51">
        <v>1267500</v>
      </c>
      <c r="H1213" s="51">
        <v>240196.93</v>
      </c>
      <c r="I1213" s="50" t="s">
        <v>524</v>
      </c>
      <c r="J1213" s="58" t="s">
        <v>1609</v>
      </c>
      <c r="K1213" s="52" t="s">
        <v>1610</v>
      </c>
      <c r="L1213" s="59">
        <v>40643</v>
      </c>
      <c r="M1213" s="60">
        <f>L1213+12*30</f>
        <v>41003</v>
      </c>
      <c r="N1213" s="51">
        <v>1279610.26</v>
      </c>
      <c r="O1213" s="59" t="s">
        <v>1611</v>
      </c>
      <c r="P1213" s="59">
        <f>M1213+48*30</f>
        <v>42443</v>
      </c>
      <c r="Q1213" s="51">
        <v>228086.67</v>
      </c>
      <c r="R1213" s="51">
        <f t="shared" si="47"/>
        <v>1507696.93</v>
      </c>
      <c r="S1213" s="51"/>
      <c r="T1213" s="52" t="s">
        <v>45</v>
      </c>
      <c r="U1213" s="51">
        <v>1302547.3</v>
      </c>
      <c r="V1213" s="51"/>
      <c r="W1213" s="51"/>
      <c r="X1213" s="51"/>
      <c r="Y1213" s="19" t="s">
        <v>1612</v>
      </c>
      <c r="Z1213" s="19"/>
      <c r="AA1213" s="28" t="s">
        <v>8460</v>
      </c>
      <c r="AB1213" s="56">
        <v>43455</v>
      </c>
      <c r="AC1213" s="28" t="s">
        <v>8461</v>
      </c>
      <c r="AD1213" s="102" t="s">
        <v>8462</v>
      </c>
      <c r="AE1213" s="54" t="s">
        <v>8486</v>
      </c>
      <c r="AF1213" s="54"/>
      <c r="AG1213" s="54" t="s">
        <v>1661</v>
      </c>
      <c r="AH1213" s="53" t="s">
        <v>1591</v>
      </c>
      <c r="AI1213" s="53" t="s">
        <v>2686</v>
      </c>
      <c r="AJ1213" s="53" t="s">
        <v>1591</v>
      </c>
    </row>
    <row r="1214" spans="1:36" s="3" customFormat="1" ht="72" x14ac:dyDescent="0.25">
      <c r="A1214" s="17" t="s">
        <v>1605</v>
      </c>
      <c r="B1214" s="18" t="s">
        <v>37</v>
      </c>
      <c r="C1214" s="19" t="s">
        <v>1746</v>
      </c>
      <c r="D1214" s="45" t="s">
        <v>1747</v>
      </c>
      <c r="E1214" s="50" t="s">
        <v>180</v>
      </c>
      <c r="F1214" s="58" t="s">
        <v>180</v>
      </c>
      <c r="G1214" s="51"/>
      <c r="H1214" s="51"/>
      <c r="I1214" s="50" t="s">
        <v>1748</v>
      </c>
      <c r="J1214" s="58" t="s">
        <v>1749</v>
      </c>
      <c r="K1214" s="52" t="s">
        <v>1750</v>
      </c>
      <c r="L1214" s="59">
        <v>42153</v>
      </c>
      <c r="M1214" s="60">
        <f>L1214+180</f>
        <v>42333</v>
      </c>
      <c r="N1214" s="51">
        <v>1228683.04</v>
      </c>
      <c r="O1214" s="59">
        <v>42337</v>
      </c>
      <c r="P1214" s="59">
        <f>M1214+4*30</f>
        <v>42453</v>
      </c>
      <c r="Q1214" s="51">
        <v>198715.85</v>
      </c>
      <c r="R1214" s="51">
        <f t="shared" si="47"/>
        <v>1427398.8900000001</v>
      </c>
      <c r="S1214" s="51"/>
      <c r="T1214" s="52" t="s">
        <v>45</v>
      </c>
      <c r="U1214" s="51">
        <v>1425900.8</v>
      </c>
      <c r="V1214" s="51"/>
      <c r="W1214" s="51"/>
      <c r="X1214" s="51"/>
      <c r="Y1214" s="19" t="s">
        <v>646</v>
      </c>
      <c r="Z1214" s="19"/>
      <c r="AA1214" s="28" t="s">
        <v>8460</v>
      </c>
      <c r="AB1214" s="56">
        <v>43455</v>
      </c>
      <c r="AC1214" s="28" t="s">
        <v>8461</v>
      </c>
      <c r="AD1214" s="102" t="s">
        <v>8462</v>
      </c>
      <c r="AE1214" s="54" t="s">
        <v>8486</v>
      </c>
      <c r="AF1214" s="54"/>
      <c r="AG1214" s="54" t="s">
        <v>1661</v>
      </c>
      <c r="AH1214" s="53" t="s">
        <v>1591</v>
      </c>
      <c r="AI1214" s="53" t="s">
        <v>2686</v>
      </c>
      <c r="AJ1214" s="53" t="s">
        <v>1591</v>
      </c>
    </row>
    <row r="1215" spans="1:36" s="3" customFormat="1" ht="36" x14ac:dyDescent="0.25">
      <c r="A1215" s="17" t="s">
        <v>1605</v>
      </c>
      <c r="B1215" s="18" t="s">
        <v>37</v>
      </c>
      <c r="C1215" s="19" t="s">
        <v>1665</v>
      </c>
      <c r="D1215" s="45" t="s">
        <v>1666</v>
      </c>
      <c r="E1215" s="50" t="s">
        <v>1667</v>
      </c>
      <c r="F1215" s="58" t="s">
        <v>1370</v>
      </c>
      <c r="G1215" s="51">
        <v>975000</v>
      </c>
      <c r="H1215" s="51">
        <v>255076.6</v>
      </c>
      <c r="I1215" s="50" t="s">
        <v>1668</v>
      </c>
      <c r="J1215" s="58" t="s">
        <v>1669</v>
      </c>
      <c r="K1215" s="52" t="s">
        <v>1670</v>
      </c>
      <c r="L1215" s="59">
        <v>41451</v>
      </c>
      <c r="M1215" s="60">
        <f>L1215+180</f>
        <v>41631</v>
      </c>
      <c r="N1215" s="51">
        <v>1187007.33</v>
      </c>
      <c r="O1215" s="59">
        <v>41880</v>
      </c>
      <c r="P1215" s="59">
        <f>M1215+990</f>
        <v>42621</v>
      </c>
      <c r="Q1215" s="51">
        <f>1231846.58-N1215</f>
        <v>44839.25</v>
      </c>
      <c r="R1215" s="51">
        <f t="shared" si="47"/>
        <v>1231846.58</v>
      </c>
      <c r="S1215" s="51"/>
      <c r="T1215" s="52" t="s">
        <v>52</v>
      </c>
      <c r="U1215" s="51">
        <v>1070839.92</v>
      </c>
      <c r="V1215" s="51"/>
      <c r="W1215" s="51"/>
      <c r="X1215" s="51"/>
      <c r="Y1215" s="19" t="s">
        <v>646</v>
      </c>
      <c r="Z1215" s="19"/>
      <c r="AA1215" s="28" t="s">
        <v>8460</v>
      </c>
      <c r="AB1215" s="56">
        <v>43455</v>
      </c>
      <c r="AC1215" s="28" t="s">
        <v>8461</v>
      </c>
      <c r="AD1215" s="102" t="s">
        <v>8462</v>
      </c>
      <c r="AE1215" s="54" t="s">
        <v>8486</v>
      </c>
      <c r="AF1215" s="54"/>
      <c r="AG1215" s="54" t="s">
        <v>1661</v>
      </c>
      <c r="AH1215" s="53" t="s">
        <v>1591</v>
      </c>
      <c r="AI1215" s="53" t="s">
        <v>2686</v>
      </c>
      <c r="AJ1215" s="53" t="s">
        <v>1591</v>
      </c>
    </row>
    <row r="1216" spans="1:36" s="3" customFormat="1" ht="36" x14ac:dyDescent="0.25">
      <c r="A1216" s="17" t="s">
        <v>1605</v>
      </c>
      <c r="B1216" s="18" t="s">
        <v>37</v>
      </c>
      <c r="C1216" s="19" t="s">
        <v>1777</v>
      </c>
      <c r="D1216" s="45" t="s">
        <v>1778</v>
      </c>
      <c r="E1216" s="50" t="s">
        <v>180</v>
      </c>
      <c r="F1216" s="58" t="s">
        <v>180</v>
      </c>
      <c r="G1216" s="51"/>
      <c r="H1216" s="51"/>
      <c r="I1216" s="50" t="s">
        <v>524</v>
      </c>
      <c r="J1216" s="58" t="s">
        <v>1609</v>
      </c>
      <c r="K1216" s="52" t="s">
        <v>1779</v>
      </c>
      <c r="L1216" s="59">
        <v>42131</v>
      </c>
      <c r="M1216" s="60">
        <f>L1216+240</f>
        <v>42371</v>
      </c>
      <c r="N1216" s="51">
        <v>859887.17</v>
      </c>
      <c r="O1216" s="59">
        <v>42376</v>
      </c>
      <c r="P1216" s="59" t="s">
        <v>3320</v>
      </c>
      <c r="Q1216" s="51">
        <v>55021.440000000002</v>
      </c>
      <c r="R1216" s="51">
        <f t="shared" si="47"/>
        <v>914908.6100000001</v>
      </c>
      <c r="S1216" s="51"/>
      <c r="T1216" s="52" t="s">
        <v>45</v>
      </c>
      <c r="U1216" s="51">
        <v>857438.9</v>
      </c>
      <c r="V1216" s="51"/>
      <c r="W1216" s="51"/>
      <c r="X1216" s="51"/>
      <c r="Y1216" s="19" t="s">
        <v>1612</v>
      </c>
      <c r="Z1216" s="19"/>
      <c r="AA1216" s="28" t="s">
        <v>8460</v>
      </c>
      <c r="AB1216" s="56">
        <v>43455</v>
      </c>
      <c r="AC1216" s="28" t="s">
        <v>8461</v>
      </c>
      <c r="AD1216" s="102" t="s">
        <v>8462</v>
      </c>
      <c r="AE1216" s="54" t="s">
        <v>8486</v>
      </c>
      <c r="AF1216" s="54"/>
      <c r="AG1216" s="54" t="s">
        <v>1661</v>
      </c>
      <c r="AH1216" s="53" t="s">
        <v>1591</v>
      </c>
      <c r="AI1216" s="53" t="s">
        <v>2686</v>
      </c>
      <c r="AJ1216" s="53" t="s">
        <v>1591</v>
      </c>
    </row>
    <row r="1217" spans="1:36" s="3" customFormat="1" ht="36" x14ac:dyDescent="0.25">
      <c r="A1217" s="17" t="s">
        <v>1605</v>
      </c>
      <c r="B1217" s="18" t="s">
        <v>37</v>
      </c>
      <c r="C1217" s="19" t="s">
        <v>1803</v>
      </c>
      <c r="D1217" s="45" t="s">
        <v>1806</v>
      </c>
      <c r="E1217" s="50" t="s">
        <v>180</v>
      </c>
      <c r="F1217" s="58" t="s">
        <v>180</v>
      </c>
      <c r="G1217" s="51">
        <v>863643.65</v>
      </c>
      <c r="H1217" s="51">
        <v>37581.07</v>
      </c>
      <c r="I1217" s="50" t="s">
        <v>1807</v>
      </c>
      <c r="J1217" s="58" t="s">
        <v>1808</v>
      </c>
      <c r="K1217" s="52" t="s">
        <v>1809</v>
      </c>
      <c r="L1217" s="59">
        <v>42550</v>
      </c>
      <c r="M1217" s="60">
        <f>L1217+180</f>
        <v>42730</v>
      </c>
      <c r="N1217" s="51">
        <v>901224.72</v>
      </c>
      <c r="O1217" s="59">
        <v>42733</v>
      </c>
      <c r="P1217" s="59">
        <v>43279</v>
      </c>
      <c r="Q1217" s="51"/>
      <c r="R1217" s="51">
        <f t="shared" si="47"/>
        <v>901224.72</v>
      </c>
      <c r="S1217" s="51"/>
      <c r="T1217" s="52" t="s">
        <v>45</v>
      </c>
      <c r="U1217" s="51">
        <v>430919.28</v>
      </c>
      <c r="V1217" s="51"/>
      <c r="W1217" s="51"/>
      <c r="X1217" s="51"/>
      <c r="Y1217" s="19" t="s">
        <v>1622</v>
      </c>
      <c r="Z1217" s="19"/>
      <c r="AA1217" s="28" t="s">
        <v>8460</v>
      </c>
      <c r="AB1217" s="56">
        <v>43455</v>
      </c>
      <c r="AC1217" s="28" t="s">
        <v>8461</v>
      </c>
      <c r="AD1217" s="102" t="s">
        <v>8462</v>
      </c>
      <c r="AE1217" s="54" t="s">
        <v>8486</v>
      </c>
      <c r="AF1217" s="54"/>
      <c r="AG1217" s="54" t="s">
        <v>1661</v>
      </c>
      <c r="AH1217" s="53" t="s">
        <v>1591</v>
      </c>
      <c r="AI1217" s="53" t="s">
        <v>2686</v>
      </c>
      <c r="AJ1217" s="53" t="s">
        <v>1591</v>
      </c>
    </row>
    <row r="1218" spans="1:36" s="3" customFormat="1" ht="72" x14ac:dyDescent="0.25">
      <c r="A1218" s="35" t="s">
        <v>1605</v>
      </c>
      <c r="B1218" s="18" t="s">
        <v>37</v>
      </c>
      <c r="C1218" s="19" t="s">
        <v>1619</v>
      </c>
      <c r="D1218" s="43" t="s">
        <v>1620</v>
      </c>
      <c r="E1218" s="50"/>
      <c r="F1218" s="36"/>
      <c r="G1218" s="51"/>
      <c r="H1218" s="51"/>
      <c r="I1218" s="36" t="s">
        <v>1621</v>
      </c>
      <c r="J1218" s="34" t="s">
        <v>546</v>
      </c>
      <c r="K1218" s="37" t="s">
        <v>964</v>
      </c>
      <c r="L1218" s="38">
        <v>40932</v>
      </c>
      <c r="M1218" s="39">
        <f>L1218+90</f>
        <v>41022</v>
      </c>
      <c r="N1218" s="42">
        <v>594154.43999999994</v>
      </c>
      <c r="O1218" s="74">
        <v>41022</v>
      </c>
      <c r="P1218" s="39">
        <f>M1218+3*30</f>
        <v>41112</v>
      </c>
      <c r="Q1218" s="41">
        <v>286644.03999999998</v>
      </c>
      <c r="R1218" s="51">
        <f t="shared" si="47"/>
        <v>880798.48</v>
      </c>
      <c r="S1218" s="51"/>
      <c r="T1218" s="52" t="s">
        <v>81</v>
      </c>
      <c r="U1218" s="51">
        <v>854564.17</v>
      </c>
      <c r="V1218" s="51"/>
      <c r="W1218" s="42"/>
      <c r="X1218" s="42"/>
      <c r="Y1218" s="34" t="s">
        <v>1622</v>
      </c>
      <c r="Z1218" s="34"/>
      <c r="AA1218" s="28" t="s">
        <v>8460</v>
      </c>
      <c r="AB1218" s="56">
        <v>43455</v>
      </c>
      <c r="AC1218" s="28" t="s">
        <v>8461</v>
      </c>
      <c r="AD1218" s="102" t="s">
        <v>8462</v>
      </c>
      <c r="AE1218" s="54" t="s">
        <v>8487</v>
      </c>
      <c r="AF1218" s="54"/>
      <c r="AG1218" s="54" t="s">
        <v>1622</v>
      </c>
      <c r="AH1218" s="53" t="s">
        <v>1591</v>
      </c>
      <c r="AI1218" s="53" t="s">
        <v>2686</v>
      </c>
      <c r="AJ1218" s="53" t="s">
        <v>1591</v>
      </c>
    </row>
    <row r="1219" spans="1:36" s="3" customFormat="1" ht="60" x14ac:dyDescent="0.25">
      <c r="A1219" s="17" t="s">
        <v>1605</v>
      </c>
      <c r="B1219" s="18" t="s">
        <v>37</v>
      </c>
      <c r="C1219" s="19" t="s">
        <v>1698</v>
      </c>
      <c r="D1219" s="45" t="s">
        <v>1719</v>
      </c>
      <c r="E1219" s="50" t="s">
        <v>180</v>
      </c>
      <c r="F1219" s="58" t="s">
        <v>180</v>
      </c>
      <c r="G1219" s="51"/>
      <c r="H1219" s="51"/>
      <c r="I1219" s="50" t="s">
        <v>545</v>
      </c>
      <c r="J1219" s="58" t="s">
        <v>546</v>
      </c>
      <c r="K1219" s="52" t="s">
        <v>1699</v>
      </c>
      <c r="L1219" s="59">
        <v>41908</v>
      </c>
      <c r="M1219" s="60">
        <f>L1219+120</f>
        <v>42028</v>
      </c>
      <c r="N1219" s="51">
        <v>715481.58</v>
      </c>
      <c r="O1219" s="59">
        <v>42030</v>
      </c>
      <c r="P1219" s="59" t="s">
        <v>1728</v>
      </c>
      <c r="Q1219" s="51"/>
      <c r="R1219" s="51">
        <f t="shared" si="47"/>
        <v>715481.58</v>
      </c>
      <c r="S1219" s="51"/>
      <c r="T1219" s="52" t="s">
        <v>45</v>
      </c>
      <c r="U1219" s="51">
        <v>500171.63</v>
      </c>
      <c r="V1219" s="51"/>
      <c r="W1219" s="51"/>
      <c r="X1219" s="51"/>
      <c r="Y1219" s="19" t="s">
        <v>1612</v>
      </c>
      <c r="Z1219" s="19"/>
      <c r="AA1219" s="28" t="s">
        <v>8460</v>
      </c>
      <c r="AB1219" s="56">
        <v>43455</v>
      </c>
      <c r="AC1219" s="28" t="s">
        <v>8461</v>
      </c>
      <c r="AD1219" s="102" t="s">
        <v>8462</v>
      </c>
      <c r="AE1219" s="54" t="s">
        <v>8486</v>
      </c>
      <c r="AF1219" s="54"/>
      <c r="AG1219" s="54" t="s">
        <v>1661</v>
      </c>
      <c r="AH1219" s="53" t="s">
        <v>1591</v>
      </c>
      <c r="AI1219" s="53" t="s">
        <v>2686</v>
      </c>
      <c r="AJ1219" s="53" t="s">
        <v>1591</v>
      </c>
    </row>
    <row r="1220" spans="1:36" s="3" customFormat="1" ht="36" x14ac:dyDescent="0.25">
      <c r="A1220" s="17" t="s">
        <v>1605</v>
      </c>
      <c r="B1220" s="18" t="s">
        <v>37</v>
      </c>
      <c r="C1220" s="19" t="s">
        <v>1751</v>
      </c>
      <c r="D1220" s="45" t="s">
        <v>1752</v>
      </c>
      <c r="E1220" s="50" t="s">
        <v>1753</v>
      </c>
      <c r="F1220" s="58"/>
      <c r="G1220" s="51">
        <v>245850</v>
      </c>
      <c r="H1220" s="51">
        <v>447786.74</v>
      </c>
      <c r="I1220" s="50" t="s">
        <v>545</v>
      </c>
      <c r="J1220" s="58" t="s">
        <v>546</v>
      </c>
      <c r="K1220" s="52" t="s">
        <v>1754</v>
      </c>
      <c r="L1220" s="59">
        <v>42193</v>
      </c>
      <c r="M1220" s="60">
        <f>L1220+120</f>
        <v>42313</v>
      </c>
      <c r="N1220" s="51">
        <v>571798.46</v>
      </c>
      <c r="O1220" s="59">
        <v>42316</v>
      </c>
      <c r="P1220" s="59">
        <f>M1220+7*30</f>
        <v>42523</v>
      </c>
      <c r="Q1220" s="51">
        <v>121916.46</v>
      </c>
      <c r="R1220" s="51">
        <f t="shared" si="47"/>
        <v>693714.91999999993</v>
      </c>
      <c r="S1220" s="51"/>
      <c r="T1220" s="52" t="s">
        <v>45</v>
      </c>
      <c r="U1220" s="51">
        <v>500518.01</v>
      </c>
      <c r="V1220" s="51"/>
      <c r="W1220" s="51"/>
      <c r="X1220" s="51"/>
      <c r="Y1220" s="19" t="s">
        <v>646</v>
      </c>
      <c r="Z1220" s="19"/>
      <c r="AA1220" s="28" t="s">
        <v>8460</v>
      </c>
      <c r="AB1220" s="56">
        <v>43455</v>
      </c>
      <c r="AC1220" s="28" t="s">
        <v>8461</v>
      </c>
      <c r="AD1220" s="102" t="s">
        <v>8462</v>
      </c>
      <c r="AE1220" s="54" t="s">
        <v>8486</v>
      </c>
      <c r="AF1220" s="54"/>
      <c r="AG1220" s="54" t="s">
        <v>1661</v>
      </c>
      <c r="AH1220" s="53" t="s">
        <v>1591</v>
      </c>
      <c r="AI1220" s="53" t="s">
        <v>2686</v>
      </c>
      <c r="AJ1220" s="53" t="s">
        <v>1591</v>
      </c>
    </row>
    <row r="1221" spans="1:36" s="3" customFormat="1" ht="48" x14ac:dyDescent="0.25">
      <c r="A1221" s="17" t="s">
        <v>1605</v>
      </c>
      <c r="B1221" s="18" t="s">
        <v>37</v>
      </c>
      <c r="C1221" s="19" t="s">
        <v>1651</v>
      </c>
      <c r="D1221" s="45" t="s">
        <v>1652</v>
      </c>
      <c r="E1221" s="50"/>
      <c r="F1221" s="58"/>
      <c r="G1221" s="51"/>
      <c r="H1221" s="51"/>
      <c r="I1221" s="50" t="s">
        <v>1653</v>
      </c>
      <c r="J1221" s="58" t="s">
        <v>1654</v>
      </c>
      <c r="K1221" s="52" t="s">
        <v>1655</v>
      </c>
      <c r="L1221" s="59">
        <v>41170</v>
      </c>
      <c r="M1221" s="60">
        <f>L1221+120</f>
        <v>41290</v>
      </c>
      <c r="N1221" s="51">
        <v>681949.72</v>
      </c>
      <c r="O1221" s="59">
        <v>41291</v>
      </c>
      <c r="P1221" s="59"/>
      <c r="Q1221" s="51"/>
      <c r="R1221" s="51">
        <f t="shared" si="47"/>
        <v>681949.72</v>
      </c>
      <c r="S1221" s="51"/>
      <c r="T1221" s="52" t="s">
        <v>52</v>
      </c>
      <c r="U1221" s="51"/>
      <c r="V1221" s="51"/>
      <c r="W1221" s="51"/>
      <c r="X1221" s="51"/>
      <c r="Y1221" s="19"/>
      <c r="Z1221" s="19"/>
      <c r="AA1221" s="28" t="s">
        <v>8460</v>
      </c>
      <c r="AB1221" s="56">
        <v>43455</v>
      </c>
      <c r="AC1221" s="28" t="s">
        <v>8461</v>
      </c>
      <c r="AD1221" s="102" t="s">
        <v>8462</v>
      </c>
      <c r="AE1221" s="54" t="s">
        <v>8486</v>
      </c>
      <c r="AF1221" s="54"/>
      <c r="AG1221" s="54" t="s">
        <v>1661</v>
      </c>
      <c r="AH1221" s="53" t="s">
        <v>1591</v>
      </c>
      <c r="AI1221" s="53" t="s">
        <v>2686</v>
      </c>
      <c r="AJ1221" s="53" t="s">
        <v>1591</v>
      </c>
    </row>
    <row r="1222" spans="1:36" s="3" customFormat="1" ht="36" x14ac:dyDescent="0.25">
      <c r="A1222" s="17" t="s">
        <v>1605</v>
      </c>
      <c r="B1222" s="18" t="s">
        <v>37</v>
      </c>
      <c r="C1222" s="19" t="s">
        <v>1698</v>
      </c>
      <c r="D1222" s="45" t="s">
        <v>8479</v>
      </c>
      <c r="E1222" s="50" t="s">
        <v>46</v>
      </c>
      <c r="F1222" s="58" t="s">
        <v>46</v>
      </c>
      <c r="G1222" s="51" t="s">
        <v>46</v>
      </c>
      <c r="H1222" s="51">
        <v>394894.23</v>
      </c>
      <c r="I1222" s="50" t="s">
        <v>545</v>
      </c>
      <c r="J1222" s="58" t="s">
        <v>546</v>
      </c>
      <c r="K1222" s="52" t="s">
        <v>1699</v>
      </c>
      <c r="L1222" s="59">
        <v>41912</v>
      </c>
      <c r="M1222" s="60">
        <f>L1222+120</f>
        <v>42032</v>
      </c>
      <c r="N1222" s="51">
        <v>394894.23</v>
      </c>
      <c r="O1222" s="59">
        <v>42031</v>
      </c>
      <c r="P1222" s="59">
        <f>M1222+2*30</f>
        <v>42092</v>
      </c>
      <c r="Q1222" s="51">
        <v>286874.58</v>
      </c>
      <c r="R1222" s="51">
        <f t="shared" si="47"/>
        <v>681768.81</v>
      </c>
      <c r="S1222" s="51"/>
      <c r="T1222" s="52" t="s">
        <v>45</v>
      </c>
      <c r="U1222" s="51">
        <v>283541.36</v>
      </c>
      <c r="V1222" s="51" t="s">
        <v>46</v>
      </c>
      <c r="W1222" s="51"/>
      <c r="X1222" s="51"/>
      <c r="Y1222" s="19" t="s">
        <v>1661</v>
      </c>
      <c r="Z1222" s="19" t="s">
        <v>4310</v>
      </c>
      <c r="AA1222" s="28" t="s">
        <v>8460</v>
      </c>
      <c r="AB1222" s="56">
        <v>43455</v>
      </c>
      <c r="AC1222" s="28" t="s">
        <v>8461</v>
      </c>
      <c r="AD1222" s="102" t="s">
        <v>8462</v>
      </c>
      <c r="AE1222" s="54" t="s">
        <v>8486</v>
      </c>
      <c r="AF1222" s="54"/>
      <c r="AG1222" s="54" t="s">
        <v>1661</v>
      </c>
      <c r="AH1222" s="53" t="s">
        <v>1591</v>
      </c>
      <c r="AI1222" s="53" t="s">
        <v>2686</v>
      </c>
      <c r="AJ1222" s="53" t="s">
        <v>1591</v>
      </c>
    </row>
    <row r="1223" spans="1:36" s="3" customFormat="1" ht="48" x14ac:dyDescent="0.25">
      <c r="A1223" s="35" t="s">
        <v>1605</v>
      </c>
      <c r="B1223" s="18" t="s">
        <v>37</v>
      </c>
      <c r="C1223" s="19" t="s">
        <v>1675</v>
      </c>
      <c r="D1223" s="43" t="s">
        <v>1676</v>
      </c>
      <c r="E1223" s="50" t="s">
        <v>46</v>
      </c>
      <c r="F1223" s="36" t="s">
        <v>46</v>
      </c>
      <c r="G1223" s="51" t="s">
        <v>46</v>
      </c>
      <c r="H1223" s="51">
        <v>592865.72</v>
      </c>
      <c r="I1223" s="36" t="s">
        <v>524</v>
      </c>
      <c r="J1223" s="34" t="s">
        <v>1609</v>
      </c>
      <c r="K1223" s="37" t="s">
        <v>1677</v>
      </c>
      <c r="L1223" s="38">
        <v>41939</v>
      </c>
      <c r="M1223" s="39">
        <f>L1223+90</f>
        <v>42029</v>
      </c>
      <c r="N1223" s="42">
        <v>592865.72</v>
      </c>
      <c r="O1223" s="74">
        <v>42031</v>
      </c>
      <c r="P1223" s="39">
        <f>M1223+3*90</f>
        <v>42299</v>
      </c>
      <c r="Q1223" s="41">
        <v>74638.97</v>
      </c>
      <c r="R1223" s="51">
        <f t="shared" si="47"/>
        <v>667504.68999999994</v>
      </c>
      <c r="S1223" s="51"/>
      <c r="T1223" s="52" t="s">
        <v>45</v>
      </c>
      <c r="U1223" s="51">
        <v>501682.4</v>
      </c>
      <c r="V1223" s="51" t="s">
        <v>46</v>
      </c>
      <c r="W1223" s="42"/>
      <c r="X1223" s="42"/>
      <c r="Y1223" s="34" t="s">
        <v>1612</v>
      </c>
      <c r="Z1223" s="34"/>
      <c r="AA1223" s="28" t="s">
        <v>8460</v>
      </c>
      <c r="AB1223" s="56">
        <v>43455</v>
      </c>
      <c r="AC1223" s="28" t="s">
        <v>8461</v>
      </c>
      <c r="AD1223" s="102" t="s">
        <v>8462</v>
      </c>
      <c r="AE1223" s="54" t="s">
        <v>8486</v>
      </c>
      <c r="AF1223" s="54"/>
      <c r="AG1223" s="54" t="s">
        <v>1661</v>
      </c>
      <c r="AH1223" s="53" t="s">
        <v>1591</v>
      </c>
      <c r="AI1223" s="53" t="s">
        <v>2686</v>
      </c>
      <c r="AJ1223" s="53" t="s">
        <v>1591</v>
      </c>
    </row>
    <row r="1224" spans="1:36" s="3" customFormat="1" ht="36" x14ac:dyDescent="0.25">
      <c r="A1224" s="17" t="s">
        <v>1605</v>
      </c>
      <c r="B1224" s="18" t="s">
        <v>37</v>
      </c>
      <c r="C1224" s="19" t="s">
        <v>1700</v>
      </c>
      <c r="D1224" s="45" t="s">
        <v>8490</v>
      </c>
      <c r="E1224" s="50" t="s">
        <v>46</v>
      </c>
      <c r="F1224" s="58" t="s">
        <v>46</v>
      </c>
      <c r="G1224" s="51" t="s">
        <v>46</v>
      </c>
      <c r="H1224" s="51">
        <v>282459.28000000003</v>
      </c>
      <c r="I1224" s="50" t="s">
        <v>545</v>
      </c>
      <c r="J1224" s="58" t="s">
        <v>546</v>
      </c>
      <c r="K1224" s="52" t="s">
        <v>1701</v>
      </c>
      <c r="L1224" s="59">
        <v>41898</v>
      </c>
      <c r="M1224" s="60">
        <f>L1224+90</f>
        <v>41988</v>
      </c>
      <c r="N1224" s="51">
        <v>282459.28000000003</v>
      </c>
      <c r="O1224" s="59">
        <v>42003</v>
      </c>
      <c r="P1224" s="59">
        <f>M1224+30</f>
        <v>42018</v>
      </c>
      <c r="Q1224" s="51">
        <v>328833.90000000002</v>
      </c>
      <c r="R1224" s="51">
        <f t="shared" si="47"/>
        <v>611293.18000000005</v>
      </c>
      <c r="S1224" s="51"/>
      <c r="T1224" s="52" t="s">
        <v>45</v>
      </c>
      <c r="U1224" s="51" t="s">
        <v>200</v>
      </c>
      <c r="V1224" s="51" t="s">
        <v>46</v>
      </c>
      <c r="W1224" s="51"/>
      <c r="X1224" s="51"/>
      <c r="Y1224" s="19" t="s">
        <v>1661</v>
      </c>
      <c r="Z1224" s="19" t="s">
        <v>4310</v>
      </c>
      <c r="AA1224" s="28" t="s">
        <v>8460</v>
      </c>
      <c r="AB1224" s="56">
        <v>43455</v>
      </c>
      <c r="AC1224" s="28" t="s">
        <v>8461</v>
      </c>
      <c r="AD1224" s="102" t="s">
        <v>8462</v>
      </c>
      <c r="AE1224" s="54" t="s">
        <v>8486</v>
      </c>
      <c r="AF1224" s="54"/>
      <c r="AG1224" s="54" t="s">
        <v>1661</v>
      </c>
      <c r="AH1224" s="53" t="s">
        <v>1591</v>
      </c>
      <c r="AI1224" s="53" t="s">
        <v>2686</v>
      </c>
      <c r="AJ1224" s="53" t="s">
        <v>1591</v>
      </c>
    </row>
    <row r="1225" spans="1:36" s="3" customFormat="1" ht="36" x14ac:dyDescent="0.25">
      <c r="A1225" s="17" t="s">
        <v>1605</v>
      </c>
      <c r="B1225" s="18" t="s">
        <v>37</v>
      </c>
      <c r="C1225" s="19" t="s">
        <v>1813</v>
      </c>
      <c r="D1225" s="45" t="s">
        <v>1814</v>
      </c>
      <c r="E1225" s="50" t="s">
        <v>180</v>
      </c>
      <c r="F1225" s="58" t="s">
        <v>180</v>
      </c>
      <c r="G1225" s="51"/>
      <c r="H1225" s="51">
        <v>496848.37</v>
      </c>
      <c r="I1225" s="50" t="s">
        <v>1722</v>
      </c>
      <c r="J1225" s="58" t="s">
        <v>1708</v>
      </c>
      <c r="K1225" s="52" t="s">
        <v>1815</v>
      </c>
      <c r="L1225" s="59">
        <v>42534</v>
      </c>
      <c r="M1225" s="60">
        <f>L1225+300</f>
        <v>42834</v>
      </c>
      <c r="N1225" s="51">
        <v>496848.37</v>
      </c>
      <c r="O1225" s="59">
        <v>42838</v>
      </c>
      <c r="P1225" s="59">
        <v>43146</v>
      </c>
      <c r="Q1225" s="51">
        <v>77163.75</v>
      </c>
      <c r="R1225" s="51">
        <f t="shared" si="47"/>
        <v>574012.12</v>
      </c>
      <c r="S1225" s="51"/>
      <c r="T1225" s="52" t="s">
        <v>45</v>
      </c>
      <c r="U1225" s="51">
        <v>525117.80000000005</v>
      </c>
      <c r="V1225" s="51"/>
      <c r="W1225" s="51"/>
      <c r="X1225" s="51"/>
      <c r="Y1225" s="19" t="s">
        <v>646</v>
      </c>
      <c r="Z1225" s="19"/>
      <c r="AA1225" s="28" t="s">
        <v>8460</v>
      </c>
      <c r="AB1225" s="56">
        <v>43455</v>
      </c>
      <c r="AC1225" s="28" t="s">
        <v>8461</v>
      </c>
      <c r="AD1225" s="102" t="s">
        <v>8462</v>
      </c>
      <c r="AE1225" s="54" t="s">
        <v>8486</v>
      </c>
      <c r="AF1225" s="54"/>
      <c r="AG1225" s="54" t="s">
        <v>1661</v>
      </c>
      <c r="AH1225" s="53" t="s">
        <v>1591</v>
      </c>
      <c r="AI1225" s="53" t="s">
        <v>2686</v>
      </c>
      <c r="AJ1225" s="53" t="s">
        <v>1591</v>
      </c>
    </row>
    <row r="1226" spans="1:36" s="3" customFormat="1" ht="36" x14ac:dyDescent="0.25">
      <c r="A1226" s="17" t="s">
        <v>1605</v>
      </c>
      <c r="B1226" s="18" t="s">
        <v>37</v>
      </c>
      <c r="C1226" s="19" t="s">
        <v>1613</v>
      </c>
      <c r="D1226" s="45" t="s">
        <v>1614</v>
      </c>
      <c r="E1226" s="50" t="s">
        <v>1615</v>
      </c>
      <c r="F1226" s="58" t="s">
        <v>1616</v>
      </c>
      <c r="G1226" s="51">
        <v>300000</v>
      </c>
      <c r="H1226" s="51">
        <v>144761.01</v>
      </c>
      <c r="I1226" s="50" t="s">
        <v>524</v>
      </c>
      <c r="J1226" s="58" t="s">
        <v>1617</v>
      </c>
      <c r="K1226" s="52" t="s">
        <v>1618</v>
      </c>
      <c r="L1226" s="59">
        <v>40980</v>
      </c>
      <c r="M1226" s="60">
        <f>L1226+240</f>
        <v>41220</v>
      </c>
      <c r="N1226" s="51">
        <v>444761.01</v>
      </c>
      <c r="O1226" s="59" t="s">
        <v>3314</v>
      </c>
      <c r="P1226" s="59">
        <f>M1226+1110</f>
        <v>42330</v>
      </c>
      <c r="Q1226" s="51">
        <f>555418.33-N1226</f>
        <v>110657.31999999995</v>
      </c>
      <c r="R1226" s="51">
        <f t="shared" si="47"/>
        <v>555418.32999999996</v>
      </c>
      <c r="S1226" s="51"/>
      <c r="T1226" s="52" t="s">
        <v>52</v>
      </c>
      <c r="U1226" s="51">
        <v>535478.72</v>
      </c>
      <c r="V1226" s="51" t="s">
        <v>46</v>
      </c>
      <c r="W1226" s="51"/>
      <c r="X1226" s="51"/>
      <c r="Y1226" s="19" t="s">
        <v>1612</v>
      </c>
      <c r="Z1226" s="19"/>
      <c r="AA1226" s="28" t="s">
        <v>8460</v>
      </c>
      <c r="AB1226" s="56">
        <v>43455</v>
      </c>
      <c r="AC1226" s="28" t="s">
        <v>8461</v>
      </c>
      <c r="AD1226" s="102" t="s">
        <v>8462</v>
      </c>
      <c r="AE1226" s="54" t="s">
        <v>8486</v>
      </c>
      <c r="AF1226" s="54"/>
      <c r="AG1226" s="54" t="s">
        <v>1661</v>
      </c>
      <c r="AH1226" s="53" t="s">
        <v>1591</v>
      </c>
      <c r="AI1226" s="53" t="s">
        <v>2686</v>
      </c>
      <c r="AJ1226" s="53" t="s">
        <v>1591</v>
      </c>
    </row>
    <row r="1227" spans="1:36" s="3" customFormat="1" ht="36" x14ac:dyDescent="0.25">
      <c r="A1227" s="17" t="s">
        <v>1605</v>
      </c>
      <c r="B1227" s="18" t="s">
        <v>37</v>
      </c>
      <c r="C1227" s="19" t="s">
        <v>1698</v>
      </c>
      <c r="D1227" s="45" t="s">
        <v>8479</v>
      </c>
      <c r="E1227" s="50" t="s">
        <v>46</v>
      </c>
      <c r="F1227" s="58" t="s">
        <v>46</v>
      </c>
      <c r="G1227" s="51" t="s">
        <v>46</v>
      </c>
      <c r="H1227" s="51">
        <v>320587.34999999998</v>
      </c>
      <c r="I1227" s="50" t="s">
        <v>545</v>
      </c>
      <c r="J1227" s="58" t="s">
        <v>546</v>
      </c>
      <c r="K1227" s="52" t="s">
        <v>1699</v>
      </c>
      <c r="L1227" s="59">
        <v>41912</v>
      </c>
      <c r="M1227" s="60">
        <f>L1227+120</f>
        <v>42032</v>
      </c>
      <c r="N1227" s="51">
        <v>320587.34999999998</v>
      </c>
      <c r="O1227" s="59">
        <v>42124</v>
      </c>
      <c r="P1227" s="59">
        <f>M1227+2*30</f>
        <v>42092</v>
      </c>
      <c r="Q1227" s="51">
        <v>231452.48</v>
      </c>
      <c r="R1227" s="51">
        <f t="shared" si="47"/>
        <v>552039.82999999996</v>
      </c>
      <c r="S1227" s="51"/>
      <c r="T1227" s="52" t="s">
        <v>45</v>
      </c>
      <c r="U1227" s="51">
        <v>145041.46</v>
      </c>
      <c r="V1227" s="51" t="s">
        <v>46</v>
      </c>
      <c r="W1227" s="51"/>
      <c r="X1227" s="51"/>
      <c r="Y1227" s="19" t="s">
        <v>1661</v>
      </c>
      <c r="Z1227" s="19" t="s">
        <v>4310</v>
      </c>
      <c r="AA1227" s="28" t="s">
        <v>8460</v>
      </c>
      <c r="AB1227" s="56">
        <v>43455</v>
      </c>
      <c r="AC1227" s="28" t="s">
        <v>8461</v>
      </c>
      <c r="AD1227" s="102" t="s">
        <v>8462</v>
      </c>
      <c r="AE1227" s="54" t="s">
        <v>8486</v>
      </c>
      <c r="AF1227" s="54"/>
      <c r="AG1227" s="54" t="s">
        <v>1661</v>
      </c>
      <c r="AH1227" s="53" t="s">
        <v>1591</v>
      </c>
      <c r="AI1227" s="53" t="s">
        <v>2686</v>
      </c>
      <c r="AJ1227" s="53" t="s">
        <v>1591</v>
      </c>
    </row>
    <row r="1228" spans="1:36" s="3" customFormat="1" ht="48" x14ac:dyDescent="0.25">
      <c r="A1228" s="17" t="s">
        <v>1605</v>
      </c>
      <c r="B1228" s="18" t="s">
        <v>37</v>
      </c>
      <c r="C1228" s="19" t="s">
        <v>533</v>
      </c>
      <c r="D1228" s="45" t="s">
        <v>1692</v>
      </c>
      <c r="E1228" s="50" t="s">
        <v>1693</v>
      </c>
      <c r="F1228" s="58" t="s">
        <v>1694</v>
      </c>
      <c r="G1228" s="51">
        <v>372823.17</v>
      </c>
      <c r="H1228" s="51">
        <v>158526.57999999999</v>
      </c>
      <c r="I1228" s="50" t="s">
        <v>1496</v>
      </c>
      <c r="J1228" s="58" t="s">
        <v>1739</v>
      </c>
      <c r="K1228" s="52" t="s">
        <v>3286</v>
      </c>
      <c r="L1228" s="59">
        <v>42865</v>
      </c>
      <c r="M1228" s="60">
        <f>L1228+120</f>
        <v>42985</v>
      </c>
      <c r="N1228" s="51">
        <v>531349.75</v>
      </c>
      <c r="O1228" s="59">
        <v>42988</v>
      </c>
      <c r="P1228" s="59">
        <v>43230</v>
      </c>
      <c r="Q1228" s="51"/>
      <c r="R1228" s="51">
        <f t="shared" si="47"/>
        <v>531349.75</v>
      </c>
      <c r="S1228" s="51"/>
      <c r="T1228" s="52" t="s">
        <v>45</v>
      </c>
      <c r="U1228" s="51">
        <v>129107.48</v>
      </c>
      <c r="V1228" s="51"/>
      <c r="W1228" s="51"/>
      <c r="X1228" s="51"/>
      <c r="Y1228" s="19" t="s">
        <v>1622</v>
      </c>
      <c r="Z1228" s="19"/>
      <c r="AA1228" s="28" t="s">
        <v>8460</v>
      </c>
      <c r="AB1228" s="56">
        <v>43455</v>
      </c>
      <c r="AC1228" s="28" t="s">
        <v>8461</v>
      </c>
      <c r="AD1228" s="102" t="s">
        <v>8462</v>
      </c>
      <c r="AE1228" s="54"/>
      <c r="AF1228" s="54"/>
      <c r="AG1228" s="54" t="s">
        <v>8480</v>
      </c>
      <c r="AH1228" s="53" t="s">
        <v>1591</v>
      </c>
      <c r="AI1228" s="53" t="s">
        <v>2686</v>
      </c>
      <c r="AJ1228" s="53" t="s">
        <v>1591</v>
      </c>
    </row>
    <row r="1229" spans="1:36" s="3" customFormat="1" ht="36" x14ac:dyDescent="0.25">
      <c r="A1229" s="17" t="s">
        <v>1605</v>
      </c>
      <c r="B1229" s="18" t="s">
        <v>37</v>
      </c>
      <c r="C1229" s="19" t="s">
        <v>1702</v>
      </c>
      <c r="D1229" s="45" t="s">
        <v>1703</v>
      </c>
      <c r="E1229" s="50"/>
      <c r="F1229" s="58" t="s">
        <v>1704</v>
      </c>
      <c r="G1229" s="51">
        <v>173475</v>
      </c>
      <c r="H1229" s="51">
        <v>264673.94</v>
      </c>
      <c r="I1229" s="50" t="s">
        <v>900</v>
      </c>
      <c r="J1229" s="58" t="s">
        <v>1518</v>
      </c>
      <c r="K1229" s="52" t="s">
        <v>1705</v>
      </c>
      <c r="L1229" s="59">
        <v>42058</v>
      </c>
      <c r="M1229" s="60">
        <f>L1229+90</f>
        <v>42148</v>
      </c>
      <c r="N1229" s="51">
        <v>438148.94</v>
      </c>
      <c r="O1229" s="59">
        <v>42147</v>
      </c>
      <c r="P1229" s="59">
        <f>M1229+3*30</f>
        <v>42238</v>
      </c>
      <c r="Q1229" s="51">
        <f>80120.14</f>
        <v>80120.14</v>
      </c>
      <c r="R1229" s="51">
        <f t="shared" si="47"/>
        <v>518269.08</v>
      </c>
      <c r="S1229" s="51"/>
      <c r="T1229" s="52" t="s">
        <v>45</v>
      </c>
      <c r="U1229" s="51" t="s">
        <v>200</v>
      </c>
      <c r="V1229" s="51" t="s">
        <v>46</v>
      </c>
      <c r="W1229" s="51"/>
      <c r="X1229" s="51"/>
      <c r="Y1229" s="19" t="s">
        <v>1612</v>
      </c>
      <c r="Z1229" s="19"/>
      <c r="AA1229" s="28" t="s">
        <v>8460</v>
      </c>
      <c r="AB1229" s="56">
        <v>43455</v>
      </c>
      <c r="AC1229" s="28" t="s">
        <v>8461</v>
      </c>
      <c r="AD1229" s="102" t="s">
        <v>8462</v>
      </c>
      <c r="AE1229" s="54" t="s">
        <v>8486</v>
      </c>
      <c r="AF1229" s="54"/>
      <c r="AG1229" s="54" t="s">
        <v>1661</v>
      </c>
      <c r="AH1229" s="53" t="s">
        <v>1591</v>
      </c>
      <c r="AI1229" s="53" t="s">
        <v>2686</v>
      </c>
      <c r="AJ1229" s="53" t="s">
        <v>1591</v>
      </c>
    </row>
    <row r="1230" spans="1:36" s="3" customFormat="1" ht="36" x14ac:dyDescent="0.25">
      <c r="A1230" s="17" t="s">
        <v>1605</v>
      </c>
      <c r="B1230" s="18" t="s">
        <v>37</v>
      </c>
      <c r="C1230" s="19" t="s">
        <v>1720</v>
      </c>
      <c r="D1230" s="45" t="s">
        <v>1721</v>
      </c>
      <c r="E1230" s="50" t="s">
        <v>180</v>
      </c>
      <c r="F1230" s="58" t="s">
        <v>180</v>
      </c>
      <c r="G1230" s="51"/>
      <c r="H1230" s="51">
        <v>489470.36</v>
      </c>
      <c r="I1230" s="50" t="s">
        <v>1722</v>
      </c>
      <c r="J1230" s="58" t="s">
        <v>1640</v>
      </c>
      <c r="K1230" s="52" t="s">
        <v>1482</v>
      </c>
      <c r="L1230" s="59">
        <v>42193</v>
      </c>
      <c r="M1230" s="60">
        <f>L1230+180</f>
        <v>42373</v>
      </c>
      <c r="N1230" s="51">
        <v>489470.36</v>
      </c>
      <c r="O1230" s="59">
        <v>42467</v>
      </c>
      <c r="P1230" s="59">
        <f>M1230+3*30</f>
        <v>42463</v>
      </c>
      <c r="Q1230" s="51">
        <f>25337.35</f>
        <v>25337.35</v>
      </c>
      <c r="R1230" s="51">
        <f t="shared" si="47"/>
        <v>514807.70999999996</v>
      </c>
      <c r="S1230" s="51"/>
      <c r="T1230" s="52" t="s">
        <v>52</v>
      </c>
      <c r="U1230" s="51">
        <v>514671.81</v>
      </c>
      <c r="V1230" s="51" t="s">
        <v>46</v>
      </c>
      <c r="W1230" s="51"/>
      <c r="X1230" s="51"/>
      <c r="Y1230" s="19" t="s">
        <v>1612</v>
      </c>
      <c r="Z1230" s="19"/>
      <c r="AA1230" s="28" t="s">
        <v>8460</v>
      </c>
      <c r="AB1230" s="56">
        <v>43455</v>
      </c>
      <c r="AC1230" s="28" t="s">
        <v>8461</v>
      </c>
      <c r="AD1230" s="102" t="s">
        <v>8462</v>
      </c>
      <c r="AE1230" s="54" t="s">
        <v>8486</v>
      </c>
      <c r="AF1230" s="54"/>
      <c r="AG1230" s="54" t="s">
        <v>1661</v>
      </c>
      <c r="AH1230" s="53" t="s">
        <v>1591</v>
      </c>
      <c r="AI1230" s="53" t="s">
        <v>2686</v>
      </c>
      <c r="AJ1230" s="53" t="s">
        <v>1591</v>
      </c>
    </row>
    <row r="1231" spans="1:36" s="3" customFormat="1" ht="72" x14ac:dyDescent="0.25">
      <c r="A1231" s="17" t="s">
        <v>1605</v>
      </c>
      <c r="B1231" s="18" t="s">
        <v>37</v>
      </c>
      <c r="C1231" s="19" t="s">
        <v>1634</v>
      </c>
      <c r="D1231" s="45" t="s">
        <v>1635</v>
      </c>
      <c r="E1231" s="50"/>
      <c r="F1231" s="58"/>
      <c r="G1231" s="51"/>
      <c r="H1231" s="51"/>
      <c r="I1231" s="50"/>
      <c r="J1231" s="58" t="s">
        <v>1636</v>
      </c>
      <c r="K1231" s="52" t="s">
        <v>1637</v>
      </c>
      <c r="L1231" s="59">
        <v>41075</v>
      </c>
      <c r="M1231" s="60">
        <f>L1231+270</f>
        <v>41345</v>
      </c>
      <c r="N1231" s="51">
        <v>509992.9</v>
      </c>
      <c r="O1231" s="59"/>
      <c r="P1231" s="59"/>
      <c r="Q1231" s="51"/>
      <c r="R1231" s="51">
        <f t="shared" si="47"/>
        <v>509992.9</v>
      </c>
      <c r="S1231" s="51"/>
      <c r="T1231" s="52" t="s">
        <v>52</v>
      </c>
      <c r="U1231" s="51"/>
      <c r="V1231" s="51"/>
      <c r="W1231" s="51"/>
      <c r="X1231" s="51"/>
      <c r="Y1231" s="19" t="s">
        <v>1622</v>
      </c>
      <c r="Z1231" s="19"/>
      <c r="AA1231" s="28" t="s">
        <v>8460</v>
      </c>
      <c r="AB1231" s="56">
        <v>43455</v>
      </c>
      <c r="AC1231" s="28" t="s">
        <v>8461</v>
      </c>
      <c r="AD1231" s="102" t="s">
        <v>8462</v>
      </c>
      <c r="AE1231" s="54" t="s">
        <v>8488</v>
      </c>
      <c r="AF1231" s="54"/>
      <c r="AG1231" s="54" t="s">
        <v>1622</v>
      </c>
      <c r="AH1231" s="53" t="s">
        <v>1591</v>
      </c>
      <c r="AI1231" s="53" t="s">
        <v>2686</v>
      </c>
      <c r="AJ1231" s="53" t="s">
        <v>1591</v>
      </c>
    </row>
    <row r="1232" spans="1:36" s="3" customFormat="1" ht="48" x14ac:dyDescent="0.25">
      <c r="A1232" s="17" t="s">
        <v>1605</v>
      </c>
      <c r="B1232" s="18" t="s">
        <v>37</v>
      </c>
      <c r="C1232" s="19" t="s">
        <v>1691</v>
      </c>
      <c r="D1232" s="45" t="s">
        <v>1692</v>
      </c>
      <c r="E1232" s="50" t="s">
        <v>1693</v>
      </c>
      <c r="F1232" s="58" t="s">
        <v>1694</v>
      </c>
      <c r="G1232" s="51">
        <v>450000</v>
      </c>
      <c r="H1232" s="51">
        <v>235499.43</v>
      </c>
      <c r="I1232" s="50" t="s">
        <v>1680</v>
      </c>
      <c r="J1232" s="58" t="s">
        <v>1681</v>
      </c>
      <c r="K1232" s="52" t="s">
        <v>1695</v>
      </c>
      <c r="L1232" s="59">
        <v>42069</v>
      </c>
      <c r="M1232" s="60">
        <f>L1232+180</f>
        <v>42249</v>
      </c>
      <c r="N1232" s="51">
        <v>406320.5</v>
      </c>
      <c r="O1232" s="59">
        <v>42253</v>
      </c>
      <c r="P1232" s="59">
        <f>M1232+12*30</f>
        <v>42609</v>
      </c>
      <c r="Q1232" s="51">
        <v>100535.64</v>
      </c>
      <c r="R1232" s="51">
        <f t="shared" si="47"/>
        <v>506856.14</v>
      </c>
      <c r="S1232" s="51"/>
      <c r="T1232" s="52" t="s">
        <v>45</v>
      </c>
      <c r="U1232" s="51">
        <v>117565.44</v>
      </c>
      <c r="V1232" s="51" t="s">
        <v>46</v>
      </c>
      <c r="W1232" s="51"/>
      <c r="X1232" s="51"/>
      <c r="Y1232" s="19" t="s">
        <v>1622</v>
      </c>
      <c r="Z1232" s="19"/>
      <c r="AA1232" s="28" t="s">
        <v>8460</v>
      </c>
      <c r="AB1232" s="56">
        <v>43455</v>
      </c>
      <c r="AC1232" s="28" t="s">
        <v>8461</v>
      </c>
      <c r="AD1232" s="102" t="s">
        <v>8462</v>
      </c>
      <c r="AE1232" s="54"/>
      <c r="AF1232" s="54"/>
      <c r="AG1232" s="54" t="s">
        <v>8481</v>
      </c>
      <c r="AH1232" s="53" t="s">
        <v>1591</v>
      </c>
      <c r="AI1232" s="53" t="s">
        <v>2686</v>
      </c>
      <c r="AJ1232" s="53" t="s">
        <v>1591</v>
      </c>
    </row>
    <row r="1233" spans="1:36" s="3" customFormat="1" ht="48" x14ac:dyDescent="0.25">
      <c r="A1233" s="17" t="s">
        <v>1605</v>
      </c>
      <c r="B1233" s="18" t="s">
        <v>37</v>
      </c>
      <c r="C1233" s="19" t="s">
        <v>1810</v>
      </c>
      <c r="D1233" s="45" t="s">
        <v>1811</v>
      </c>
      <c r="E1233" s="50" t="s">
        <v>3285</v>
      </c>
      <c r="F1233" s="58" t="s">
        <v>1696</v>
      </c>
      <c r="G1233" s="51">
        <v>366720.38</v>
      </c>
      <c r="H1233" s="51">
        <v>125681.87</v>
      </c>
      <c r="I1233" s="50" t="s">
        <v>519</v>
      </c>
      <c r="J1233" s="58" t="s">
        <v>1646</v>
      </c>
      <c r="K1233" s="52" t="s">
        <v>1812</v>
      </c>
      <c r="L1233" s="59">
        <v>42549</v>
      </c>
      <c r="M1233" s="60">
        <f>L1233+150</f>
        <v>42699</v>
      </c>
      <c r="N1233" s="51">
        <v>492402.25</v>
      </c>
      <c r="O1233" s="59">
        <v>42702</v>
      </c>
      <c r="P1233" s="59" t="s">
        <v>3324</v>
      </c>
      <c r="Q1233" s="51">
        <v>8366.89</v>
      </c>
      <c r="R1233" s="51">
        <f t="shared" si="47"/>
        <v>500769.14</v>
      </c>
      <c r="S1233" s="51"/>
      <c r="T1233" s="52" t="s">
        <v>45</v>
      </c>
      <c r="U1233" s="51">
        <v>212099.15</v>
      </c>
      <c r="V1233" s="51"/>
      <c r="W1233" s="51"/>
      <c r="X1233" s="51"/>
      <c r="Y1233" s="19" t="s">
        <v>1622</v>
      </c>
      <c r="Z1233" s="19"/>
      <c r="AA1233" s="28" t="s">
        <v>8460</v>
      </c>
      <c r="AB1233" s="56">
        <v>43455</v>
      </c>
      <c r="AC1233" s="28" t="s">
        <v>8461</v>
      </c>
      <c r="AD1233" s="102" t="s">
        <v>8462</v>
      </c>
      <c r="AE1233" s="54" t="s">
        <v>8488</v>
      </c>
      <c r="AF1233" s="54"/>
      <c r="AG1233" s="54" t="s">
        <v>1622</v>
      </c>
      <c r="AH1233" s="53" t="s">
        <v>1591</v>
      </c>
      <c r="AI1233" s="53" t="s">
        <v>2686</v>
      </c>
      <c r="AJ1233" s="53" t="s">
        <v>1591</v>
      </c>
    </row>
    <row r="1234" spans="1:36" s="3" customFormat="1" ht="60" x14ac:dyDescent="0.25">
      <c r="A1234" s="17" t="s">
        <v>1605</v>
      </c>
      <c r="B1234" s="18" t="s">
        <v>37</v>
      </c>
      <c r="C1234" s="19" t="s">
        <v>1642</v>
      </c>
      <c r="D1234" s="45" t="s">
        <v>1643</v>
      </c>
      <c r="E1234" s="50"/>
      <c r="F1234" s="58"/>
      <c r="G1234" s="51"/>
      <c r="H1234" s="51"/>
      <c r="I1234" s="50"/>
      <c r="J1234" s="58" t="s">
        <v>546</v>
      </c>
      <c r="K1234" s="52" t="s">
        <v>1644</v>
      </c>
      <c r="L1234" s="59">
        <v>41054</v>
      </c>
      <c r="M1234" s="60">
        <f>L1234+270</f>
        <v>41324</v>
      </c>
      <c r="N1234" s="51">
        <v>490000</v>
      </c>
      <c r="O1234" s="59"/>
      <c r="P1234" s="59"/>
      <c r="Q1234" s="51"/>
      <c r="R1234" s="51">
        <f t="shared" ref="R1234:R1256" si="48">N1234+Q1234</f>
        <v>490000</v>
      </c>
      <c r="S1234" s="51"/>
      <c r="T1234" s="52" t="s">
        <v>52</v>
      </c>
      <c r="U1234" s="51"/>
      <c r="V1234" s="51"/>
      <c r="W1234" s="51"/>
      <c r="X1234" s="51"/>
      <c r="Y1234" s="19" t="s">
        <v>1622</v>
      </c>
      <c r="Z1234" s="19"/>
      <c r="AA1234" s="28" t="s">
        <v>8460</v>
      </c>
      <c r="AB1234" s="56">
        <v>43455</v>
      </c>
      <c r="AC1234" s="28" t="s">
        <v>8461</v>
      </c>
      <c r="AD1234" s="102" t="s">
        <v>8462</v>
      </c>
      <c r="AE1234" s="54" t="s">
        <v>8487</v>
      </c>
      <c r="AF1234" s="54"/>
      <c r="AG1234" s="54" t="s">
        <v>1622</v>
      </c>
      <c r="AH1234" s="53" t="s">
        <v>1591</v>
      </c>
      <c r="AI1234" s="53" t="s">
        <v>2686</v>
      </c>
      <c r="AJ1234" s="53" t="s">
        <v>1591</v>
      </c>
    </row>
    <row r="1235" spans="1:36" s="3" customFormat="1" ht="60" x14ac:dyDescent="0.25">
      <c r="A1235" s="17" t="s">
        <v>1605</v>
      </c>
      <c r="B1235" s="18" t="s">
        <v>37</v>
      </c>
      <c r="C1235" s="19" t="s">
        <v>1642</v>
      </c>
      <c r="D1235" s="45" t="s">
        <v>1645</v>
      </c>
      <c r="E1235" s="50"/>
      <c r="F1235" s="58"/>
      <c r="G1235" s="51"/>
      <c r="H1235" s="51"/>
      <c r="I1235" s="50"/>
      <c r="J1235" s="58" t="s">
        <v>1646</v>
      </c>
      <c r="K1235" s="52" t="s">
        <v>1647</v>
      </c>
      <c r="L1235" s="59">
        <v>41054</v>
      </c>
      <c r="M1235" s="60">
        <f>L1235+270</f>
        <v>41324</v>
      </c>
      <c r="N1235" s="51">
        <v>490000</v>
      </c>
      <c r="O1235" s="59"/>
      <c r="P1235" s="59"/>
      <c r="Q1235" s="51"/>
      <c r="R1235" s="51">
        <f t="shared" si="48"/>
        <v>490000</v>
      </c>
      <c r="S1235" s="51"/>
      <c r="T1235" s="52" t="s">
        <v>52</v>
      </c>
      <c r="U1235" s="51"/>
      <c r="V1235" s="51"/>
      <c r="W1235" s="51"/>
      <c r="X1235" s="51"/>
      <c r="Y1235" s="19" t="s">
        <v>1622</v>
      </c>
      <c r="Z1235" s="19"/>
      <c r="AA1235" s="28" t="s">
        <v>8460</v>
      </c>
      <c r="AB1235" s="56">
        <v>43455</v>
      </c>
      <c r="AC1235" s="28" t="s">
        <v>8461</v>
      </c>
      <c r="AD1235" s="102" t="s">
        <v>8462</v>
      </c>
      <c r="AE1235" s="54" t="s">
        <v>8488</v>
      </c>
      <c r="AF1235" s="54"/>
      <c r="AG1235" s="54" t="s">
        <v>1622</v>
      </c>
      <c r="AH1235" s="53" t="s">
        <v>1591</v>
      </c>
      <c r="AI1235" s="53" t="s">
        <v>2686</v>
      </c>
      <c r="AJ1235" s="53" t="s">
        <v>1591</v>
      </c>
    </row>
    <row r="1236" spans="1:36" s="3" customFormat="1" ht="36" x14ac:dyDescent="0.25">
      <c r="A1236" s="17" t="s">
        <v>1605</v>
      </c>
      <c r="B1236" s="18" t="s">
        <v>37</v>
      </c>
      <c r="C1236" s="19" t="s">
        <v>1785</v>
      </c>
      <c r="D1236" s="45" t="s">
        <v>1786</v>
      </c>
      <c r="E1236" s="50" t="s">
        <v>180</v>
      </c>
      <c r="F1236" s="58" t="s">
        <v>180</v>
      </c>
      <c r="G1236" s="51"/>
      <c r="H1236" s="51"/>
      <c r="I1236" s="50" t="s">
        <v>1775</v>
      </c>
      <c r="J1236" s="58" t="s">
        <v>1708</v>
      </c>
      <c r="K1236" s="52" t="s">
        <v>82</v>
      </c>
      <c r="L1236" s="59">
        <v>42069</v>
      </c>
      <c r="M1236" s="60">
        <f>L1236+180</f>
        <v>42249</v>
      </c>
      <c r="N1236" s="51">
        <v>400956.95</v>
      </c>
      <c r="O1236" s="59">
        <v>42253</v>
      </c>
      <c r="P1236" s="59">
        <f>M1236+2*30</f>
        <v>42309</v>
      </c>
      <c r="Q1236" s="51">
        <v>88289.43</v>
      </c>
      <c r="R1236" s="51">
        <f t="shared" si="48"/>
        <v>489246.38</v>
      </c>
      <c r="S1236" s="51"/>
      <c r="T1236" s="52" t="s">
        <v>45</v>
      </c>
      <c r="U1236" s="51">
        <v>489141.66</v>
      </c>
      <c r="V1236" s="51"/>
      <c r="W1236" s="51"/>
      <c r="X1236" s="51"/>
      <c r="Y1236" s="19" t="s">
        <v>1612</v>
      </c>
      <c r="Z1236" s="19"/>
      <c r="AA1236" s="28" t="s">
        <v>8460</v>
      </c>
      <c r="AB1236" s="56">
        <v>43455</v>
      </c>
      <c r="AC1236" s="28" t="s">
        <v>8461</v>
      </c>
      <c r="AD1236" s="102" t="s">
        <v>8462</v>
      </c>
      <c r="AE1236" s="54" t="s">
        <v>8486</v>
      </c>
      <c r="AF1236" s="54"/>
      <c r="AG1236" s="54" t="s">
        <v>1661</v>
      </c>
      <c r="AH1236" s="53" t="s">
        <v>1591</v>
      </c>
      <c r="AI1236" s="53" t="s">
        <v>2686</v>
      </c>
      <c r="AJ1236" s="53" t="s">
        <v>1591</v>
      </c>
    </row>
    <row r="1237" spans="1:36" s="3" customFormat="1" ht="36" x14ac:dyDescent="0.25">
      <c r="A1237" s="17" t="s">
        <v>1605</v>
      </c>
      <c r="B1237" s="18" t="s">
        <v>37</v>
      </c>
      <c r="C1237" s="19" t="s">
        <v>1803</v>
      </c>
      <c r="D1237" s="45" t="s">
        <v>1804</v>
      </c>
      <c r="E1237" s="50" t="s">
        <v>180</v>
      </c>
      <c r="F1237" s="58" t="s">
        <v>180</v>
      </c>
      <c r="G1237" s="51">
        <v>454766</v>
      </c>
      <c r="H1237" s="51">
        <v>19788.939999999999</v>
      </c>
      <c r="I1237" s="50" t="s">
        <v>1496</v>
      </c>
      <c r="J1237" s="58" t="s">
        <v>1739</v>
      </c>
      <c r="K1237" s="52" t="s">
        <v>1805</v>
      </c>
      <c r="L1237" s="59">
        <v>42550</v>
      </c>
      <c r="M1237" s="60">
        <f>L1237+180</f>
        <v>42730</v>
      </c>
      <c r="N1237" s="51">
        <v>474554.94</v>
      </c>
      <c r="O1237" s="59">
        <v>42733</v>
      </c>
      <c r="P1237" s="59">
        <v>43279</v>
      </c>
      <c r="Q1237" s="51"/>
      <c r="R1237" s="51">
        <f t="shared" si="48"/>
        <v>474554.94</v>
      </c>
      <c r="S1237" s="51"/>
      <c r="T1237" s="52" t="s">
        <v>45</v>
      </c>
      <c r="U1237" s="51">
        <v>457680.52</v>
      </c>
      <c r="V1237" s="51"/>
      <c r="W1237" s="51"/>
      <c r="X1237" s="51"/>
      <c r="Y1237" s="19" t="s">
        <v>1622</v>
      </c>
      <c r="Z1237" s="19"/>
      <c r="AA1237" s="28" t="s">
        <v>8460</v>
      </c>
      <c r="AB1237" s="56">
        <v>43455</v>
      </c>
      <c r="AC1237" s="28" t="s">
        <v>8461</v>
      </c>
      <c r="AD1237" s="102" t="s">
        <v>8462</v>
      </c>
      <c r="AE1237" s="54" t="s">
        <v>8486</v>
      </c>
      <c r="AF1237" s="54"/>
      <c r="AG1237" s="54" t="s">
        <v>1661</v>
      </c>
      <c r="AH1237" s="53" t="s">
        <v>1591</v>
      </c>
      <c r="AI1237" s="53" t="s">
        <v>2686</v>
      </c>
      <c r="AJ1237" s="53" t="s">
        <v>1591</v>
      </c>
    </row>
    <row r="1238" spans="1:36" s="3" customFormat="1" ht="48" x14ac:dyDescent="0.25">
      <c r="A1238" s="17" t="s">
        <v>1605</v>
      </c>
      <c r="B1238" s="18" t="s">
        <v>37</v>
      </c>
      <c r="C1238" s="19" t="s">
        <v>1760</v>
      </c>
      <c r="D1238" s="45" t="s">
        <v>1761</v>
      </c>
      <c r="E1238" s="50" t="s">
        <v>1762</v>
      </c>
      <c r="F1238" s="58" t="s">
        <v>1763</v>
      </c>
      <c r="G1238" s="51">
        <v>444031.88</v>
      </c>
      <c r="H1238" s="51">
        <v>24208</v>
      </c>
      <c r="I1238" s="50" t="s">
        <v>1764</v>
      </c>
      <c r="J1238" s="58" t="s">
        <v>1609</v>
      </c>
      <c r="K1238" s="52" t="s">
        <v>1765</v>
      </c>
      <c r="L1238" s="59">
        <v>42282</v>
      </c>
      <c r="M1238" s="60">
        <f>L1238+90</f>
        <v>42372</v>
      </c>
      <c r="N1238" s="51">
        <v>468239.88</v>
      </c>
      <c r="O1238" s="59">
        <v>42374</v>
      </c>
      <c r="P1238" s="59">
        <f>M1238+4*30</f>
        <v>42492</v>
      </c>
      <c r="Q1238" s="51">
        <v>3088.29</v>
      </c>
      <c r="R1238" s="51">
        <f t="shared" si="48"/>
        <v>471328.17</v>
      </c>
      <c r="S1238" s="51"/>
      <c r="T1238" s="52" t="s">
        <v>45</v>
      </c>
      <c r="U1238" s="51">
        <v>443890.48</v>
      </c>
      <c r="V1238" s="51"/>
      <c r="W1238" s="51"/>
      <c r="X1238" s="51"/>
      <c r="Y1238" s="19" t="s">
        <v>1622</v>
      </c>
      <c r="Z1238" s="19"/>
      <c r="AA1238" s="28" t="s">
        <v>8460</v>
      </c>
      <c r="AB1238" s="56">
        <v>43455</v>
      </c>
      <c r="AC1238" s="28" t="s">
        <v>8461</v>
      </c>
      <c r="AD1238" s="102" t="s">
        <v>8462</v>
      </c>
      <c r="AE1238" s="54" t="s">
        <v>8486</v>
      </c>
      <c r="AF1238" s="54"/>
      <c r="AG1238" s="54" t="s">
        <v>1661</v>
      </c>
      <c r="AH1238" s="53" t="s">
        <v>1591</v>
      </c>
      <c r="AI1238" s="53" t="s">
        <v>2686</v>
      </c>
      <c r="AJ1238" s="53" t="s">
        <v>1591</v>
      </c>
    </row>
    <row r="1239" spans="1:36" s="3" customFormat="1" ht="36" x14ac:dyDescent="0.25">
      <c r="A1239" s="17" t="s">
        <v>1605</v>
      </c>
      <c r="B1239" s="18" t="s">
        <v>37</v>
      </c>
      <c r="C1239" s="19" t="s">
        <v>1780</v>
      </c>
      <c r="D1239" s="45" t="s">
        <v>1781</v>
      </c>
      <c r="E1239" s="50" t="s">
        <v>180</v>
      </c>
      <c r="F1239" s="58" t="s">
        <v>180</v>
      </c>
      <c r="G1239" s="51"/>
      <c r="H1239" s="51"/>
      <c r="I1239" s="50" t="s">
        <v>519</v>
      </c>
      <c r="J1239" s="58" t="s">
        <v>1646</v>
      </c>
      <c r="K1239" s="52" t="s">
        <v>1782</v>
      </c>
      <c r="L1239" s="59">
        <v>42101</v>
      </c>
      <c r="M1239" s="60">
        <f>L1239+180</f>
        <v>42281</v>
      </c>
      <c r="N1239" s="51">
        <v>364820</v>
      </c>
      <c r="O1239" s="59">
        <v>42284</v>
      </c>
      <c r="P1239" s="59" t="s">
        <v>3321</v>
      </c>
      <c r="Q1239" s="51">
        <v>90639.95</v>
      </c>
      <c r="R1239" s="51">
        <f t="shared" si="48"/>
        <v>455459.95</v>
      </c>
      <c r="S1239" s="51"/>
      <c r="T1239" s="52" t="s">
        <v>45</v>
      </c>
      <c r="U1239" s="51">
        <v>408473.17</v>
      </c>
      <c r="V1239" s="51"/>
      <c r="W1239" s="51"/>
      <c r="X1239" s="51"/>
      <c r="Y1239" s="19" t="s">
        <v>1612</v>
      </c>
      <c r="Z1239" s="19"/>
      <c r="AA1239" s="28" t="s">
        <v>8460</v>
      </c>
      <c r="AB1239" s="56">
        <v>43455</v>
      </c>
      <c r="AC1239" s="28" t="s">
        <v>8461</v>
      </c>
      <c r="AD1239" s="102" t="s">
        <v>8462</v>
      </c>
      <c r="AE1239" s="54" t="s">
        <v>8486</v>
      </c>
      <c r="AF1239" s="54"/>
      <c r="AG1239" s="54" t="s">
        <v>1661</v>
      </c>
      <c r="AH1239" s="53" t="s">
        <v>1591</v>
      </c>
      <c r="AI1239" s="53" t="s">
        <v>2686</v>
      </c>
      <c r="AJ1239" s="53" t="s">
        <v>1591</v>
      </c>
    </row>
    <row r="1240" spans="1:36" s="3" customFormat="1" ht="48" x14ac:dyDescent="0.25">
      <c r="A1240" s="17" t="s">
        <v>1605</v>
      </c>
      <c r="B1240" s="18" t="s">
        <v>37</v>
      </c>
      <c r="C1240" s="19" t="s">
        <v>3114</v>
      </c>
      <c r="D1240" s="45" t="s">
        <v>3115</v>
      </c>
      <c r="E1240" s="50" t="s">
        <v>180</v>
      </c>
      <c r="F1240" s="58" t="s">
        <v>180</v>
      </c>
      <c r="G1240" s="51">
        <v>439693.81</v>
      </c>
      <c r="H1240" s="51"/>
      <c r="I1240" s="50" t="s">
        <v>900</v>
      </c>
      <c r="J1240" s="58" t="s">
        <v>1518</v>
      </c>
      <c r="K1240" s="52" t="s">
        <v>2387</v>
      </c>
      <c r="L1240" s="59">
        <v>42539</v>
      </c>
      <c r="M1240" s="60"/>
      <c r="N1240" s="51">
        <v>439693.81</v>
      </c>
      <c r="O1240" s="59"/>
      <c r="P1240" s="59">
        <v>43176</v>
      </c>
      <c r="Q1240" s="51"/>
      <c r="R1240" s="51">
        <f t="shared" si="48"/>
        <v>439693.81</v>
      </c>
      <c r="S1240" s="51"/>
      <c r="T1240" s="52" t="s">
        <v>45</v>
      </c>
      <c r="U1240" s="51">
        <v>314484.93</v>
      </c>
      <c r="V1240" s="51"/>
      <c r="W1240" s="51"/>
      <c r="X1240" s="51"/>
      <c r="Y1240" s="19" t="s">
        <v>646</v>
      </c>
      <c r="Z1240" s="19"/>
      <c r="AA1240" s="28" t="s">
        <v>8460</v>
      </c>
      <c r="AB1240" s="56">
        <v>43455</v>
      </c>
      <c r="AC1240" s="28" t="s">
        <v>8461</v>
      </c>
      <c r="AD1240" s="102" t="s">
        <v>8462</v>
      </c>
      <c r="AE1240" s="54" t="s">
        <v>8486</v>
      </c>
      <c r="AF1240" s="54"/>
      <c r="AG1240" s="54" t="s">
        <v>1661</v>
      </c>
      <c r="AH1240" s="53" t="s">
        <v>1591</v>
      </c>
      <c r="AI1240" s="53" t="s">
        <v>2686</v>
      </c>
      <c r="AJ1240" s="53" t="s">
        <v>1591</v>
      </c>
    </row>
    <row r="1241" spans="1:36" s="3" customFormat="1" ht="36" x14ac:dyDescent="0.25">
      <c r="A1241" s="17" t="s">
        <v>1605</v>
      </c>
      <c r="B1241" s="18" t="s">
        <v>37</v>
      </c>
      <c r="C1241" s="19" t="s">
        <v>1671</v>
      </c>
      <c r="D1241" s="45" t="s">
        <v>1672</v>
      </c>
      <c r="E1241" s="50" t="s">
        <v>1673</v>
      </c>
      <c r="F1241" s="58" t="s">
        <v>1412</v>
      </c>
      <c r="G1241" s="51">
        <v>390000</v>
      </c>
      <c r="H1241" s="51">
        <v>19157.8</v>
      </c>
      <c r="I1241" s="50" t="s">
        <v>1668</v>
      </c>
      <c r="J1241" s="58" t="s">
        <v>1669</v>
      </c>
      <c r="K1241" s="52" t="s">
        <v>1674</v>
      </c>
      <c r="L1241" s="59">
        <v>41451</v>
      </c>
      <c r="M1241" s="60">
        <f>L1241+150</f>
        <v>41601</v>
      </c>
      <c r="N1241" s="51">
        <v>403045.08</v>
      </c>
      <c r="O1241" s="59">
        <v>42055</v>
      </c>
      <c r="P1241" s="59">
        <f>M1241+15*30</f>
        <v>42051</v>
      </c>
      <c r="Q1241" s="51">
        <v>1274.7</v>
      </c>
      <c r="R1241" s="51">
        <f t="shared" si="48"/>
        <v>404319.78</v>
      </c>
      <c r="S1241" s="51"/>
      <c r="T1241" s="52" t="s">
        <v>52</v>
      </c>
      <c r="U1241" s="51">
        <v>404319.78</v>
      </c>
      <c r="V1241" s="51" t="s">
        <v>46</v>
      </c>
      <c r="W1241" s="51"/>
      <c r="X1241" s="51"/>
      <c r="Y1241" s="19" t="s">
        <v>1612</v>
      </c>
      <c r="Z1241" s="19"/>
      <c r="AA1241" s="28" t="s">
        <v>8460</v>
      </c>
      <c r="AB1241" s="56">
        <v>43455</v>
      </c>
      <c r="AC1241" s="28" t="s">
        <v>8461</v>
      </c>
      <c r="AD1241" s="102" t="s">
        <v>8462</v>
      </c>
      <c r="AE1241" s="54" t="s">
        <v>8486</v>
      </c>
      <c r="AF1241" s="54"/>
      <c r="AG1241" s="54" t="s">
        <v>1661</v>
      </c>
      <c r="AH1241" s="53" t="s">
        <v>1591</v>
      </c>
      <c r="AI1241" s="53" t="s">
        <v>2686</v>
      </c>
      <c r="AJ1241" s="53" t="s">
        <v>1591</v>
      </c>
    </row>
    <row r="1242" spans="1:36" s="3" customFormat="1" ht="36" x14ac:dyDescent="0.25">
      <c r="A1242" s="17" t="s">
        <v>1605</v>
      </c>
      <c r="B1242" s="18" t="s">
        <v>37</v>
      </c>
      <c r="C1242" s="19" t="s">
        <v>1710</v>
      </c>
      <c r="D1242" s="45" t="s">
        <v>8482</v>
      </c>
      <c r="E1242" s="50" t="s">
        <v>46</v>
      </c>
      <c r="F1242" s="58" t="s">
        <v>46</v>
      </c>
      <c r="G1242" s="51" t="s">
        <v>46</v>
      </c>
      <c r="H1242" s="51" t="s">
        <v>46</v>
      </c>
      <c r="I1242" s="50" t="s">
        <v>1707</v>
      </c>
      <c r="J1242" s="58" t="s">
        <v>1708</v>
      </c>
      <c r="K1242" s="52" t="s">
        <v>1711</v>
      </c>
      <c r="L1242" s="59">
        <v>41856</v>
      </c>
      <c r="M1242" s="60">
        <f>L1242+120</f>
        <v>41976</v>
      </c>
      <c r="N1242" s="51">
        <v>163667</v>
      </c>
      <c r="O1242" s="59">
        <v>41989</v>
      </c>
      <c r="P1242" s="59">
        <f>M1242+30</f>
        <v>42006</v>
      </c>
      <c r="Q1242" s="51">
        <v>173076.15</v>
      </c>
      <c r="R1242" s="51">
        <f t="shared" si="48"/>
        <v>336743.15</v>
      </c>
      <c r="S1242" s="51"/>
      <c r="T1242" s="52" t="s">
        <v>45</v>
      </c>
      <c r="U1242" s="51">
        <v>173076.15</v>
      </c>
      <c r="V1242" s="51" t="s">
        <v>46</v>
      </c>
      <c r="W1242" s="51"/>
      <c r="X1242" s="51"/>
      <c r="Y1242" s="19" t="s">
        <v>1661</v>
      </c>
      <c r="Z1242" s="19" t="s">
        <v>4310</v>
      </c>
      <c r="AA1242" s="28" t="s">
        <v>8460</v>
      </c>
      <c r="AB1242" s="56">
        <v>43455</v>
      </c>
      <c r="AC1242" s="28" t="s">
        <v>8461</v>
      </c>
      <c r="AD1242" s="102" t="s">
        <v>8462</v>
      </c>
      <c r="AE1242" s="54" t="s">
        <v>8486</v>
      </c>
      <c r="AF1242" s="54"/>
      <c r="AG1242" s="54" t="s">
        <v>1661</v>
      </c>
      <c r="AH1242" s="53" t="s">
        <v>1591</v>
      </c>
      <c r="AI1242" s="53" t="s">
        <v>2686</v>
      </c>
      <c r="AJ1242" s="53" t="s">
        <v>1591</v>
      </c>
    </row>
    <row r="1243" spans="1:36" s="3" customFormat="1" ht="36" x14ac:dyDescent="0.25">
      <c r="A1243" s="17" t="s">
        <v>1605</v>
      </c>
      <c r="B1243" s="18" t="s">
        <v>37</v>
      </c>
      <c r="C1243" s="19" t="s">
        <v>1706</v>
      </c>
      <c r="D1243" s="45" t="s">
        <v>8489</v>
      </c>
      <c r="E1243" s="50" t="s">
        <v>46</v>
      </c>
      <c r="F1243" s="58" t="s">
        <v>46</v>
      </c>
      <c r="G1243" s="51" t="s">
        <v>46</v>
      </c>
      <c r="H1243" s="51" t="s">
        <v>46</v>
      </c>
      <c r="I1243" s="50" t="s">
        <v>1707</v>
      </c>
      <c r="J1243" s="58" t="s">
        <v>1708</v>
      </c>
      <c r="K1243" s="52" t="s">
        <v>1709</v>
      </c>
      <c r="L1243" s="59">
        <v>41810</v>
      </c>
      <c r="M1243" s="60">
        <f>L1243+120</f>
        <v>41930</v>
      </c>
      <c r="N1243" s="51">
        <v>115538.31</v>
      </c>
      <c r="O1243" s="59">
        <v>41994</v>
      </c>
      <c r="P1243" s="59">
        <f>M1243+40</f>
        <v>41970</v>
      </c>
      <c r="Q1243" s="51">
        <v>144770.95000000001</v>
      </c>
      <c r="R1243" s="51">
        <f t="shared" si="48"/>
        <v>260309.26</v>
      </c>
      <c r="S1243" s="51"/>
      <c r="T1243" s="52" t="s">
        <v>45</v>
      </c>
      <c r="U1243" s="51">
        <v>144770.95000000001</v>
      </c>
      <c r="V1243" s="51" t="s">
        <v>46</v>
      </c>
      <c r="W1243" s="51"/>
      <c r="X1243" s="51"/>
      <c r="Y1243" s="19" t="s">
        <v>1661</v>
      </c>
      <c r="Z1243" s="19" t="s">
        <v>4310</v>
      </c>
      <c r="AA1243" s="28" t="s">
        <v>8460</v>
      </c>
      <c r="AB1243" s="56">
        <v>43455</v>
      </c>
      <c r="AC1243" s="28" t="s">
        <v>8461</v>
      </c>
      <c r="AD1243" s="102" t="s">
        <v>8462</v>
      </c>
      <c r="AE1243" s="54" t="s">
        <v>8486</v>
      </c>
      <c r="AF1243" s="54"/>
      <c r="AG1243" s="54" t="s">
        <v>1661</v>
      </c>
      <c r="AH1243" s="53" t="s">
        <v>1591</v>
      </c>
      <c r="AI1243" s="53" t="s">
        <v>2686</v>
      </c>
      <c r="AJ1243" s="53" t="s">
        <v>1591</v>
      </c>
    </row>
    <row r="1244" spans="1:36" s="3" customFormat="1" ht="36" x14ac:dyDescent="0.25">
      <c r="A1244" s="17" t="s">
        <v>1605</v>
      </c>
      <c r="B1244" s="18" t="s">
        <v>37</v>
      </c>
      <c r="C1244" s="19" t="s">
        <v>1799</v>
      </c>
      <c r="D1244" s="45" t="s">
        <v>1800</v>
      </c>
      <c r="E1244" s="50" t="s">
        <v>180</v>
      </c>
      <c r="F1244" s="58" t="s">
        <v>180</v>
      </c>
      <c r="G1244" s="51"/>
      <c r="H1244" s="51"/>
      <c r="I1244" s="50" t="s">
        <v>1801</v>
      </c>
      <c r="J1244" s="58" t="s">
        <v>1802</v>
      </c>
      <c r="K1244" s="52" t="s">
        <v>174</v>
      </c>
      <c r="L1244" s="59">
        <v>42436</v>
      </c>
      <c r="M1244" s="60">
        <f>L1244+120</f>
        <v>42556</v>
      </c>
      <c r="N1244" s="51">
        <v>228548.25</v>
      </c>
      <c r="O1244" s="59">
        <v>42558</v>
      </c>
      <c r="P1244" s="59" t="s">
        <v>180</v>
      </c>
      <c r="Q1244" s="51"/>
      <c r="R1244" s="51">
        <f t="shared" si="48"/>
        <v>228548.25</v>
      </c>
      <c r="S1244" s="51"/>
      <c r="T1244" s="52" t="s">
        <v>45</v>
      </c>
      <c r="U1244" s="51">
        <v>200132.53</v>
      </c>
      <c r="V1244" s="51"/>
      <c r="W1244" s="51"/>
      <c r="X1244" s="51"/>
      <c r="Y1244" s="19" t="s">
        <v>1622</v>
      </c>
      <c r="Z1244" s="19"/>
      <c r="AA1244" s="28" t="s">
        <v>8460</v>
      </c>
      <c r="AB1244" s="56">
        <v>43455</v>
      </c>
      <c r="AC1244" s="28" t="s">
        <v>8461</v>
      </c>
      <c r="AD1244" s="102" t="s">
        <v>8462</v>
      </c>
      <c r="AE1244" s="54" t="s">
        <v>8486</v>
      </c>
      <c r="AF1244" s="54"/>
      <c r="AG1244" s="54" t="s">
        <v>1661</v>
      </c>
      <c r="AH1244" s="53" t="s">
        <v>1591</v>
      </c>
      <c r="AI1244" s="53" t="s">
        <v>2686</v>
      </c>
      <c r="AJ1244" s="53" t="s">
        <v>1591</v>
      </c>
    </row>
    <row r="1245" spans="1:36" s="3" customFormat="1" ht="36" x14ac:dyDescent="0.25">
      <c r="A1245" s="17" t="s">
        <v>1605</v>
      </c>
      <c r="B1245" s="18" t="s">
        <v>37</v>
      </c>
      <c r="C1245" s="19"/>
      <c r="D1245" s="45" t="s">
        <v>1729</v>
      </c>
      <c r="E1245" s="50" t="s">
        <v>180</v>
      </c>
      <c r="F1245" s="58" t="s">
        <v>180</v>
      </c>
      <c r="G1245" s="51"/>
      <c r="H1245" s="51">
        <v>162605.26</v>
      </c>
      <c r="I1245" s="50" t="s">
        <v>900</v>
      </c>
      <c r="J1245" s="58" t="s">
        <v>1518</v>
      </c>
      <c r="K1245" s="52" t="s">
        <v>1730</v>
      </c>
      <c r="L1245" s="59">
        <v>42384</v>
      </c>
      <c r="M1245" s="60">
        <f>L1245+90</f>
        <v>42474</v>
      </c>
      <c r="N1245" s="51">
        <v>162605.26</v>
      </c>
      <c r="O1245" s="59">
        <v>42475</v>
      </c>
      <c r="P1245" s="59" t="s">
        <v>3318</v>
      </c>
      <c r="Q1245" s="51">
        <v>36819.379999999997</v>
      </c>
      <c r="R1245" s="51">
        <f t="shared" si="48"/>
        <v>199424.64000000001</v>
      </c>
      <c r="S1245" s="51"/>
      <c r="T1245" s="52" t="s">
        <v>45</v>
      </c>
      <c r="U1245" s="51">
        <v>173913.08</v>
      </c>
      <c r="V1245" s="51"/>
      <c r="W1245" s="51"/>
      <c r="X1245" s="51"/>
      <c r="Y1245" s="19" t="s">
        <v>1622</v>
      </c>
      <c r="Z1245" s="19"/>
      <c r="AA1245" s="28" t="s">
        <v>8460</v>
      </c>
      <c r="AB1245" s="56">
        <v>43455</v>
      </c>
      <c r="AC1245" s="28" t="s">
        <v>8461</v>
      </c>
      <c r="AD1245" s="102" t="s">
        <v>8462</v>
      </c>
      <c r="AE1245" s="54" t="s">
        <v>8486</v>
      </c>
      <c r="AF1245" s="54"/>
      <c r="AG1245" s="54" t="s">
        <v>1661</v>
      </c>
      <c r="AH1245" s="53" t="s">
        <v>1591</v>
      </c>
      <c r="AI1245" s="53" t="s">
        <v>2686</v>
      </c>
      <c r="AJ1245" s="53" t="s">
        <v>1591</v>
      </c>
    </row>
    <row r="1246" spans="1:36" s="3" customFormat="1" ht="36" x14ac:dyDescent="0.25">
      <c r="A1246" s="17" t="s">
        <v>1605</v>
      </c>
      <c r="B1246" s="18" t="s">
        <v>37</v>
      </c>
      <c r="C1246" s="19" t="s">
        <v>1797</v>
      </c>
      <c r="D1246" s="45" t="s">
        <v>1798</v>
      </c>
      <c r="E1246" s="50" t="s">
        <v>180</v>
      </c>
      <c r="F1246" s="58" t="s">
        <v>180</v>
      </c>
      <c r="G1246" s="51"/>
      <c r="H1246" s="51"/>
      <c r="I1246" s="50" t="s">
        <v>1722</v>
      </c>
      <c r="J1246" s="58" t="s">
        <v>1708</v>
      </c>
      <c r="K1246" s="52" t="s">
        <v>331</v>
      </c>
      <c r="L1246" s="59">
        <v>42436</v>
      </c>
      <c r="M1246" s="60">
        <f>L1246+120</f>
        <v>42556</v>
      </c>
      <c r="N1246" s="51">
        <v>186642.12</v>
      </c>
      <c r="O1246" s="59">
        <v>42558</v>
      </c>
      <c r="P1246" s="59" t="s">
        <v>180</v>
      </c>
      <c r="Q1246" s="51"/>
      <c r="R1246" s="51">
        <f t="shared" si="48"/>
        <v>186642.12</v>
      </c>
      <c r="S1246" s="51"/>
      <c r="T1246" s="52" t="s">
        <v>45</v>
      </c>
      <c r="U1246" s="51">
        <v>186458.31</v>
      </c>
      <c r="V1246" s="51"/>
      <c r="W1246" s="51"/>
      <c r="X1246" s="51"/>
      <c r="Y1246" s="19" t="s">
        <v>1622</v>
      </c>
      <c r="Z1246" s="19"/>
      <c r="AA1246" s="28" t="s">
        <v>8460</v>
      </c>
      <c r="AB1246" s="56">
        <v>43455</v>
      </c>
      <c r="AC1246" s="28" t="s">
        <v>8461</v>
      </c>
      <c r="AD1246" s="102" t="s">
        <v>8462</v>
      </c>
      <c r="AE1246" s="54" t="s">
        <v>8486</v>
      </c>
      <c r="AF1246" s="54"/>
      <c r="AG1246" s="54" t="s">
        <v>1661</v>
      </c>
      <c r="AH1246" s="53" t="s">
        <v>1591</v>
      </c>
      <c r="AI1246" s="53" t="s">
        <v>2686</v>
      </c>
      <c r="AJ1246" s="53" t="s">
        <v>1591</v>
      </c>
    </row>
    <row r="1247" spans="1:36" s="3" customFormat="1" ht="48" x14ac:dyDescent="0.25">
      <c r="A1247" s="17" t="s">
        <v>1605</v>
      </c>
      <c r="B1247" s="18" t="s">
        <v>37</v>
      </c>
      <c r="C1247" s="19" t="s">
        <v>1678</v>
      </c>
      <c r="D1247" s="45" t="s">
        <v>1679</v>
      </c>
      <c r="E1247" s="50" t="s">
        <v>46</v>
      </c>
      <c r="F1247" s="58" t="s">
        <v>46</v>
      </c>
      <c r="G1247" s="51" t="s">
        <v>46</v>
      </c>
      <c r="H1247" s="51">
        <v>138061.39000000001</v>
      </c>
      <c r="I1247" s="50" t="s">
        <v>1680</v>
      </c>
      <c r="J1247" s="58" t="s">
        <v>1681</v>
      </c>
      <c r="K1247" s="52" t="s">
        <v>1682</v>
      </c>
      <c r="L1247" s="59">
        <v>42019</v>
      </c>
      <c r="M1247" s="60">
        <f>L1247+60</f>
        <v>42079</v>
      </c>
      <c r="N1247" s="51">
        <v>138061.39000000001</v>
      </c>
      <c r="O1247" s="59">
        <v>42110</v>
      </c>
      <c r="P1247" s="59">
        <f>M1247+60</f>
        <v>42139</v>
      </c>
      <c r="Q1247" s="51">
        <v>24391.759999999998</v>
      </c>
      <c r="R1247" s="51">
        <f t="shared" si="48"/>
        <v>162453.15000000002</v>
      </c>
      <c r="S1247" s="51"/>
      <c r="T1247" s="52" t="s">
        <v>45</v>
      </c>
      <c r="U1247" s="51">
        <v>160621.4</v>
      </c>
      <c r="V1247" s="51" t="s">
        <v>46</v>
      </c>
      <c r="W1247" s="51"/>
      <c r="X1247" s="51"/>
      <c r="Y1247" s="19" t="s">
        <v>1612</v>
      </c>
      <c r="Z1247" s="19"/>
      <c r="AA1247" s="28" t="s">
        <v>8460</v>
      </c>
      <c r="AB1247" s="56">
        <v>43455</v>
      </c>
      <c r="AC1247" s="28" t="s">
        <v>8461</v>
      </c>
      <c r="AD1247" s="102" t="s">
        <v>8462</v>
      </c>
      <c r="AE1247" s="54" t="s">
        <v>8486</v>
      </c>
      <c r="AF1247" s="54"/>
      <c r="AG1247" s="54" t="s">
        <v>1661</v>
      </c>
      <c r="AH1247" s="53" t="s">
        <v>1591</v>
      </c>
      <c r="AI1247" s="53" t="s">
        <v>2686</v>
      </c>
      <c r="AJ1247" s="53" t="s">
        <v>1591</v>
      </c>
    </row>
    <row r="1248" spans="1:36" s="3" customFormat="1" ht="36" x14ac:dyDescent="0.25">
      <c r="A1248" s="17" t="s">
        <v>1605</v>
      </c>
      <c r="B1248" s="18" t="s">
        <v>37</v>
      </c>
      <c r="C1248" s="19" t="s">
        <v>1688</v>
      </c>
      <c r="D1248" s="45" t="s">
        <v>1717</v>
      </c>
      <c r="E1248" s="50" t="s">
        <v>180</v>
      </c>
      <c r="F1248" s="58" t="s">
        <v>180</v>
      </c>
      <c r="G1248" s="51"/>
      <c r="H1248" s="51"/>
      <c r="I1248" s="50" t="s">
        <v>1689</v>
      </c>
      <c r="J1248" s="58" t="s">
        <v>1718</v>
      </c>
      <c r="K1248" s="52" t="s">
        <v>1690</v>
      </c>
      <c r="L1248" s="59">
        <v>41912</v>
      </c>
      <c r="M1248" s="60">
        <f>L1248+120</f>
        <v>42032</v>
      </c>
      <c r="N1248" s="51">
        <v>123101.13</v>
      </c>
      <c r="O1248" s="59">
        <v>42034</v>
      </c>
      <c r="P1248" s="59" t="s">
        <v>3317</v>
      </c>
      <c r="Q1248" s="51">
        <f>147641.13-N1248</f>
        <v>24540</v>
      </c>
      <c r="R1248" s="51">
        <f t="shared" si="48"/>
        <v>147641.13</v>
      </c>
      <c r="S1248" s="51"/>
      <c r="T1248" s="52" t="s">
        <v>45</v>
      </c>
      <c r="U1248" s="51">
        <v>102498.97</v>
      </c>
      <c r="V1248" s="51"/>
      <c r="W1248" s="51"/>
      <c r="X1248" s="51"/>
      <c r="Y1248" s="19" t="s">
        <v>1612</v>
      </c>
      <c r="Z1248" s="19"/>
      <c r="AA1248" s="28" t="s">
        <v>8460</v>
      </c>
      <c r="AB1248" s="56">
        <v>43455</v>
      </c>
      <c r="AC1248" s="28" t="s">
        <v>8461</v>
      </c>
      <c r="AD1248" s="102" t="s">
        <v>8462</v>
      </c>
      <c r="AE1248" s="54" t="s">
        <v>8486</v>
      </c>
      <c r="AF1248" s="54"/>
      <c r="AG1248" s="54" t="s">
        <v>1661</v>
      </c>
      <c r="AH1248" s="53" t="s">
        <v>1591</v>
      </c>
      <c r="AI1248" s="53" t="s">
        <v>2686</v>
      </c>
      <c r="AJ1248" s="53" t="s">
        <v>1591</v>
      </c>
    </row>
    <row r="1249" spans="1:36" s="3" customFormat="1" ht="60" x14ac:dyDescent="0.25">
      <c r="A1249" s="17" t="s">
        <v>1605</v>
      </c>
      <c r="B1249" s="18" t="s">
        <v>37</v>
      </c>
      <c r="C1249" s="19" t="s">
        <v>1623</v>
      </c>
      <c r="D1249" s="45" t="s">
        <v>1624</v>
      </c>
      <c r="E1249" s="50"/>
      <c r="F1249" s="58"/>
      <c r="G1249" s="51"/>
      <c r="H1249" s="51"/>
      <c r="I1249" s="50" t="s">
        <v>1621</v>
      </c>
      <c r="J1249" s="58" t="s">
        <v>546</v>
      </c>
      <c r="K1249" s="52" t="s">
        <v>1625</v>
      </c>
      <c r="L1249" s="59">
        <v>41019</v>
      </c>
      <c r="M1249" s="60">
        <f>L1249+120</f>
        <v>41139</v>
      </c>
      <c r="N1249" s="51">
        <v>126459.55</v>
      </c>
      <c r="O1249" s="59">
        <v>41140</v>
      </c>
      <c r="P1249" s="59"/>
      <c r="Q1249" s="51">
        <v>21116.93</v>
      </c>
      <c r="R1249" s="51">
        <f t="shared" si="48"/>
        <v>147576.48000000001</v>
      </c>
      <c r="S1249" s="51"/>
      <c r="T1249" s="52" t="s">
        <v>52</v>
      </c>
      <c r="U1249" s="51">
        <v>145474.28</v>
      </c>
      <c r="V1249" s="51"/>
      <c r="W1249" s="51"/>
      <c r="X1249" s="51"/>
      <c r="Y1249" s="19" t="s">
        <v>1622</v>
      </c>
      <c r="Z1249" s="19"/>
      <c r="AA1249" s="28" t="s">
        <v>8460</v>
      </c>
      <c r="AB1249" s="56">
        <v>43455</v>
      </c>
      <c r="AC1249" s="28" t="s">
        <v>8461</v>
      </c>
      <c r="AD1249" s="102" t="s">
        <v>8462</v>
      </c>
      <c r="AE1249" s="54" t="s">
        <v>8487</v>
      </c>
      <c r="AF1249" s="54"/>
      <c r="AG1249" s="54" t="s">
        <v>1622</v>
      </c>
      <c r="AH1249" s="53" t="s">
        <v>1591</v>
      </c>
      <c r="AI1249" s="53" t="s">
        <v>2686</v>
      </c>
      <c r="AJ1249" s="53" t="s">
        <v>1591</v>
      </c>
    </row>
    <row r="1250" spans="1:36" s="3" customFormat="1" ht="36" x14ac:dyDescent="0.25">
      <c r="A1250" s="17" t="s">
        <v>1605</v>
      </c>
      <c r="B1250" s="18" t="s">
        <v>37</v>
      </c>
      <c r="C1250" s="19" t="s">
        <v>1723</v>
      </c>
      <c r="D1250" s="45" t="s">
        <v>1724</v>
      </c>
      <c r="E1250" s="50" t="s">
        <v>180</v>
      </c>
      <c r="F1250" s="58" t="s">
        <v>180</v>
      </c>
      <c r="G1250" s="51"/>
      <c r="H1250" s="51">
        <v>130013.66</v>
      </c>
      <c r="I1250" s="50" t="s">
        <v>1725</v>
      </c>
      <c r="J1250" s="58" t="s">
        <v>1726</v>
      </c>
      <c r="K1250" s="52" t="s">
        <v>1727</v>
      </c>
      <c r="L1250" s="59">
        <v>42305</v>
      </c>
      <c r="M1250" s="60">
        <f>L1250+90</f>
        <v>42395</v>
      </c>
      <c r="N1250" s="51">
        <v>130013.66</v>
      </c>
      <c r="O1250" s="59">
        <v>42397</v>
      </c>
      <c r="P1250" s="59">
        <f>M1250+90</f>
        <v>42485</v>
      </c>
      <c r="Q1250" s="51"/>
      <c r="R1250" s="51">
        <f t="shared" si="48"/>
        <v>130013.66</v>
      </c>
      <c r="S1250" s="51"/>
      <c r="T1250" s="52" t="s">
        <v>45</v>
      </c>
      <c r="U1250" s="51">
        <v>115914.26</v>
      </c>
      <c r="V1250" s="51"/>
      <c r="W1250" s="51"/>
      <c r="X1250" s="51"/>
      <c r="Y1250" s="19" t="s">
        <v>1612</v>
      </c>
      <c r="Z1250" s="19"/>
      <c r="AA1250" s="28" t="s">
        <v>8460</v>
      </c>
      <c r="AB1250" s="56">
        <v>43455</v>
      </c>
      <c r="AC1250" s="28" t="s">
        <v>8461</v>
      </c>
      <c r="AD1250" s="102" t="s">
        <v>8462</v>
      </c>
      <c r="AE1250" s="54" t="s">
        <v>8486</v>
      </c>
      <c r="AF1250" s="54"/>
      <c r="AG1250" s="54" t="s">
        <v>1661</v>
      </c>
      <c r="AH1250" s="53" t="s">
        <v>1591</v>
      </c>
      <c r="AI1250" s="53" t="s">
        <v>2686</v>
      </c>
      <c r="AJ1250" s="53" t="s">
        <v>1591</v>
      </c>
    </row>
    <row r="1251" spans="1:36" s="3" customFormat="1" ht="36" x14ac:dyDescent="0.25">
      <c r="A1251" s="17" t="s">
        <v>1605</v>
      </c>
      <c r="B1251" s="18" t="s">
        <v>37</v>
      </c>
      <c r="C1251" s="19" t="s">
        <v>198</v>
      </c>
      <c r="D1251" s="45" t="s">
        <v>1787</v>
      </c>
      <c r="E1251" s="50" t="s">
        <v>180</v>
      </c>
      <c r="F1251" s="58" t="s">
        <v>180</v>
      </c>
      <c r="G1251" s="51"/>
      <c r="H1251" s="51"/>
      <c r="I1251" s="50" t="s">
        <v>1725</v>
      </c>
      <c r="J1251" s="58" t="s">
        <v>1726</v>
      </c>
      <c r="K1251" s="52" t="s">
        <v>1788</v>
      </c>
      <c r="L1251" s="59">
        <v>42054</v>
      </c>
      <c r="M1251" s="60">
        <f>L1251+120</f>
        <v>42174</v>
      </c>
      <c r="N1251" s="51">
        <v>114000</v>
      </c>
      <c r="O1251" s="59">
        <v>42174</v>
      </c>
      <c r="P1251" s="59">
        <f>M1251+2*30</f>
        <v>42234</v>
      </c>
      <c r="Q1251" s="51">
        <v>8501.89</v>
      </c>
      <c r="R1251" s="51">
        <f t="shared" si="48"/>
        <v>122501.89</v>
      </c>
      <c r="S1251" s="51"/>
      <c r="T1251" s="52" t="s">
        <v>45</v>
      </c>
      <c r="U1251" s="51">
        <v>100000</v>
      </c>
      <c r="V1251" s="51"/>
      <c r="W1251" s="51"/>
      <c r="X1251" s="51"/>
      <c r="Y1251" s="19" t="s">
        <v>1612</v>
      </c>
      <c r="Z1251" s="19"/>
      <c r="AA1251" s="28" t="s">
        <v>8460</v>
      </c>
      <c r="AB1251" s="56">
        <v>43455</v>
      </c>
      <c r="AC1251" s="28" t="s">
        <v>8461</v>
      </c>
      <c r="AD1251" s="102" t="s">
        <v>8462</v>
      </c>
      <c r="AE1251" s="54" t="s">
        <v>8486</v>
      </c>
      <c r="AF1251" s="54"/>
      <c r="AG1251" s="54" t="s">
        <v>1661</v>
      </c>
      <c r="AH1251" s="53" t="s">
        <v>1591</v>
      </c>
      <c r="AI1251" s="53" t="s">
        <v>2686</v>
      </c>
      <c r="AJ1251" s="53" t="s">
        <v>1591</v>
      </c>
    </row>
    <row r="1252" spans="1:36" s="3" customFormat="1" ht="48" x14ac:dyDescent="0.25">
      <c r="A1252" s="17" t="s">
        <v>1605</v>
      </c>
      <c r="B1252" s="18" t="s">
        <v>37</v>
      </c>
      <c r="C1252" s="19" t="s">
        <v>1737</v>
      </c>
      <c r="D1252" s="45" t="s">
        <v>1738</v>
      </c>
      <c r="E1252" s="50" t="s">
        <v>180</v>
      </c>
      <c r="F1252" s="58" t="s">
        <v>180</v>
      </c>
      <c r="G1252" s="51"/>
      <c r="H1252" s="51"/>
      <c r="I1252" s="50" t="s">
        <v>1496</v>
      </c>
      <c r="J1252" s="58" t="s">
        <v>1739</v>
      </c>
      <c r="K1252" s="52" t="s">
        <v>1740</v>
      </c>
      <c r="L1252" s="59">
        <v>42348</v>
      </c>
      <c r="M1252" s="60">
        <f>L1252+150</f>
        <v>42498</v>
      </c>
      <c r="N1252" s="51">
        <v>97101.98</v>
      </c>
      <c r="O1252" s="59">
        <v>42500</v>
      </c>
      <c r="P1252" s="59">
        <f>M1252+5*30</f>
        <v>42648</v>
      </c>
      <c r="Q1252" s="51">
        <v>24262.44</v>
      </c>
      <c r="R1252" s="51">
        <f t="shared" si="48"/>
        <v>121364.42</v>
      </c>
      <c r="S1252" s="51"/>
      <c r="T1252" s="52" t="s">
        <v>45</v>
      </c>
      <c r="U1252" s="51">
        <v>62984.76</v>
      </c>
      <c r="V1252" s="51"/>
      <c r="W1252" s="51"/>
      <c r="X1252" s="51"/>
      <c r="Y1252" s="19" t="s">
        <v>1622</v>
      </c>
      <c r="Z1252" s="19"/>
      <c r="AA1252" s="28" t="s">
        <v>8460</v>
      </c>
      <c r="AB1252" s="56">
        <v>43455</v>
      </c>
      <c r="AC1252" s="28" t="s">
        <v>8461</v>
      </c>
      <c r="AD1252" s="102" t="s">
        <v>8462</v>
      </c>
      <c r="AE1252" s="54"/>
      <c r="AF1252" s="54"/>
      <c r="AG1252" s="54" t="s">
        <v>8483</v>
      </c>
      <c r="AH1252" s="53" t="s">
        <v>1591</v>
      </c>
      <c r="AI1252" s="53" t="s">
        <v>2686</v>
      </c>
      <c r="AJ1252" s="53" t="s">
        <v>1591</v>
      </c>
    </row>
    <row r="1253" spans="1:36" s="3" customFormat="1" ht="36" x14ac:dyDescent="0.25">
      <c r="A1253" s="17" t="s">
        <v>1605</v>
      </c>
      <c r="B1253" s="18" t="s">
        <v>37</v>
      </c>
      <c r="C1253" s="19" t="s">
        <v>1684</v>
      </c>
      <c r="D1253" s="45"/>
      <c r="E1253" s="50" t="s">
        <v>46</v>
      </c>
      <c r="F1253" s="58" t="s">
        <v>46</v>
      </c>
      <c r="G1253" s="51" t="s">
        <v>46</v>
      </c>
      <c r="H1253" s="51">
        <v>56152.04</v>
      </c>
      <c r="I1253" s="50" t="s">
        <v>545</v>
      </c>
      <c r="J1253" s="58" t="s">
        <v>546</v>
      </c>
      <c r="K1253" s="52" t="s">
        <v>1685</v>
      </c>
      <c r="L1253" s="59">
        <v>41949</v>
      </c>
      <c r="M1253" s="60">
        <f>L1253+60</f>
        <v>42009</v>
      </c>
      <c r="N1253" s="51">
        <v>56152.04</v>
      </c>
      <c r="O1253" s="59">
        <v>42009</v>
      </c>
      <c r="P1253" s="59">
        <f>M1253+30</f>
        <v>42039</v>
      </c>
      <c r="Q1253" s="51">
        <v>61682.48</v>
      </c>
      <c r="R1253" s="51">
        <f t="shared" si="48"/>
        <v>117834.52</v>
      </c>
      <c r="S1253" s="51"/>
      <c r="T1253" s="52" t="s">
        <v>45</v>
      </c>
      <c r="U1253" s="51">
        <v>56152.04</v>
      </c>
      <c r="V1253" s="51" t="s">
        <v>46</v>
      </c>
      <c r="W1253" s="51"/>
      <c r="X1253" s="51"/>
      <c r="Y1253" s="19" t="s">
        <v>1612</v>
      </c>
      <c r="Z1253" s="19" t="s">
        <v>4310</v>
      </c>
      <c r="AA1253" s="28" t="s">
        <v>8460</v>
      </c>
      <c r="AB1253" s="56">
        <v>43455</v>
      </c>
      <c r="AC1253" s="28" t="s">
        <v>8461</v>
      </c>
      <c r="AD1253" s="102" t="s">
        <v>8462</v>
      </c>
      <c r="AE1253" s="54" t="s">
        <v>8486</v>
      </c>
      <c r="AF1253" s="54"/>
      <c r="AG1253" s="54" t="s">
        <v>8484</v>
      </c>
      <c r="AH1253" s="53" t="s">
        <v>1591</v>
      </c>
      <c r="AI1253" s="53" t="s">
        <v>2686</v>
      </c>
      <c r="AJ1253" s="53" t="s">
        <v>1591</v>
      </c>
    </row>
    <row r="1254" spans="1:36" s="3" customFormat="1" ht="48" x14ac:dyDescent="0.25">
      <c r="A1254" s="17" t="s">
        <v>1605</v>
      </c>
      <c r="B1254" s="18" t="s">
        <v>37</v>
      </c>
      <c r="C1254" s="19" t="s">
        <v>1731</v>
      </c>
      <c r="D1254" s="45" t="s">
        <v>1732</v>
      </c>
      <c r="E1254" s="50" t="s">
        <v>180</v>
      </c>
      <c r="F1254" s="58" t="s">
        <v>180</v>
      </c>
      <c r="G1254" s="51"/>
      <c r="H1254" s="51"/>
      <c r="I1254" s="50" t="s">
        <v>900</v>
      </c>
      <c r="J1254" s="58" t="s">
        <v>1518</v>
      </c>
      <c r="K1254" s="52" t="s">
        <v>1733</v>
      </c>
      <c r="L1254" s="59">
        <v>42324</v>
      </c>
      <c r="M1254" s="60">
        <f>L1254+60</f>
        <v>42384</v>
      </c>
      <c r="N1254" s="51">
        <v>108166.6</v>
      </c>
      <c r="O1254" s="59">
        <v>42385</v>
      </c>
      <c r="P1254" s="59">
        <f>M1254+4*30</f>
        <v>42504</v>
      </c>
      <c r="Q1254" s="51"/>
      <c r="R1254" s="51">
        <f t="shared" si="48"/>
        <v>108166.6</v>
      </c>
      <c r="S1254" s="51"/>
      <c r="T1254" s="52" t="s">
        <v>45</v>
      </c>
      <c r="U1254" s="51">
        <v>108166.6</v>
      </c>
      <c r="V1254" s="51"/>
      <c r="W1254" s="51"/>
      <c r="X1254" s="51"/>
      <c r="Y1254" s="19" t="s">
        <v>646</v>
      </c>
      <c r="Z1254" s="19"/>
      <c r="AA1254" s="28" t="s">
        <v>8460</v>
      </c>
      <c r="AB1254" s="56">
        <v>43455</v>
      </c>
      <c r="AC1254" s="28" t="s">
        <v>8461</v>
      </c>
      <c r="AD1254" s="102" t="s">
        <v>8462</v>
      </c>
      <c r="AE1254" s="54" t="s">
        <v>8486</v>
      </c>
      <c r="AF1254" s="54"/>
      <c r="AG1254" s="54" t="s">
        <v>1661</v>
      </c>
      <c r="AH1254" s="53" t="s">
        <v>1591</v>
      </c>
      <c r="AI1254" s="53" t="s">
        <v>2686</v>
      </c>
      <c r="AJ1254" s="53" t="s">
        <v>1591</v>
      </c>
    </row>
    <row r="1255" spans="1:36" s="3" customFormat="1" ht="36" x14ac:dyDescent="0.25">
      <c r="A1255" s="17" t="s">
        <v>1605</v>
      </c>
      <c r="B1255" s="18" t="s">
        <v>37</v>
      </c>
      <c r="C1255" s="19" t="s">
        <v>1734</v>
      </c>
      <c r="D1255" s="45" t="s">
        <v>1741</v>
      </c>
      <c r="E1255" s="50" t="s">
        <v>180</v>
      </c>
      <c r="F1255" s="58" t="s">
        <v>180</v>
      </c>
      <c r="G1255" s="51"/>
      <c r="H1255" s="51"/>
      <c r="I1255" s="50" t="s">
        <v>1496</v>
      </c>
      <c r="J1255" s="58" t="s">
        <v>1739</v>
      </c>
      <c r="K1255" s="52" t="s">
        <v>1742</v>
      </c>
      <c r="L1255" s="59">
        <v>42348</v>
      </c>
      <c r="M1255" s="60">
        <f>L1255+90</f>
        <v>42438</v>
      </c>
      <c r="N1255" s="51">
        <v>82240.69</v>
      </c>
      <c r="O1255" s="59">
        <v>42530</v>
      </c>
      <c r="P1255" s="59">
        <f>M1255+3*30</f>
        <v>42528</v>
      </c>
      <c r="Q1255" s="51">
        <v>20560.21</v>
      </c>
      <c r="R1255" s="51">
        <f t="shared" si="48"/>
        <v>102800.9</v>
      </c>
      <c r="S1255" s="51"/>
      <c r="T1255" s="52" t="s">
        <v>45</v>
      </c>
      <c r="U1255" s="51">
        <v>70578.89</v>
      </c>
      <c r="V1255" s="51"/>
      <c r="W1255" s="51"/>
      <c r="X1255" s="51"/>
      <c r="Y1255" s="19" t="s">
        <v>1622</v>
      </c>
      <c r="Z1255" s="19"/>
      <c r="AA1255" s="28" t="s">
        <v>8460</v>
      </c>
      <c r="AB1255" s="56">
        <v>43455</v>
      </c>
      <c r="AC1255" s="28" t="s">
        <v>8461</v>
      </c>
      <c r="AD1255" s="102" t="s">
        <v>8462</v>
      </c>
      <c r="AE1255" s="54" t="s">
        <v>8486</v>
      </c>
      <c r="AF1255" s="54"/>
      <c r="AG1255" s="54" t="s">
        <v>1661</v>
      </c>
      <c r="AH1255" s="53" t="s">
        <v>1591</v>
      </c>
      <c r="AI1255" s="53" t="s">
        <v>2686</v>
      </c>
      <c r="AJ1255" s="53" t="s">
        <v>1591</v>
      </c>
    </row>
    <row r="1256" spans="1:36" s="3" customFormat="1" ht="60" x14ac:dyDescent="0.25">
      <c r="A1256" s="17" t="s">
        <v>1605</v>
      </c>
      <c r="B1256" s="18" t="s">
        <v>37</v>
      </c>
      <c r="C1256" s="19" t="s">
        <v>1648</v>
      </c>
      <c r="D1256" s="45" t="s">
        <v>1649</v>
      </c>
      <c r="E1256" s="50"/>
      <c r="F1256" s="58"/>
      <c r="G1256" s="51"/>
      <c r="H1256" s="51"/>
      <c r="I1256" s="50"/>
      <c r="J1256" s="58" t="s">
        <v>1640</v>
      </c>
      <c r="K1256" s="52" t="s">
        <v>1650</v>
      </c>
      <c r="L1256" s="59">
        <v>41134</v>
      </c>
      <c r="M1256" s="60">
        <f>L1256+180</f>
        <v>41314</v>
      </c>
      <c r="N1256" s="51">
        <v>97799.84</v>
      </c>
      <c r="O1256" s="59"/>
      <c r="P1256" s="59"/>
      <c r="Q1256" s="51"/>
      <c r="R1256" s="51">
        <f t="shared" si="48"/>
        <v>97799.84</v>
      </c>
      <c r="S1256" s="51"/>
      <c r="T1256" s="52" t="s">
        <v>52</v>
      </c>
      <c r="U1256" s="51"/>
      <c r="V1256" s="51"/>
      <c r="W1256" s="51"/>
      <c r="X1256" s="51"/>
      <c r="Y1256" s="19" t="s">
        <v>1622</v>
      </c>
      <c r="Z1256" s="19"/>
      <c r="AA1256" s="28" t="s">
        <v>8460</v>
      </c>
      <c r="AB1256" s="56">
        <v>43455</v>
      </c>
      <c r="AC1256" s="28" t="s">
        <v>8461</v>
      </c>
      <c r="AD1256" s="102" t="s">
        <v>8462</v>
      </c>
      <c r="AE1256" s="54" t="s">
        <v>8486</v>
      </c>
      <c r="AF1256" s="54"/>
      <c r="AG1256" s="54" t="s">
        <v>1661</v>
      </c>
      <c r="AH1256" s="53" t="s">
        <v>1591</v>
      </c>
      <c r="AI1256" s="53" t="s">
        <v>2686</v>
      </c>
      <c r="AJ1256" s="53" t="s">
        <v>1591</v>
      </c>
    </row>
    <row r="1257" spans="1:36" s="3" customFormat="1" ht="60" x14ac:dyDescent="0.25">
      <c r="A1257" s="17" t="s">
        <v>1605</v>
      </c>
      <c r="B1257" s="18" t="s">
        <v>37</v>
      </c>
      <c r="C1257" s="19" t="s">
        <v>1638</v>
      </c>
      <c r="D1257" s="45" t="s">
        <v>1639</v>
      </c>
      <c r="E1257" s="50"/>
      <c r="F1257" s="58"/>
      <c r="G1257" s="51"/>
      <c r="H1257" s="51"/>
      <c r="I1257" s="50"/>
      <c r="J1257" s="58" t="s">
        <v>1640</v>
      </c>
      <c r="K1257" s="52" t="s">
        <v>1641</v>
      </c>
      <c r="L1257" s="59">
        <v>41068</v>
      </c>
      <c r="M1257" s="60">
        <f>L1257+180</f>
        <v>41248</v>
      </c>
      <c r="N1257" s="51">
        <v>81745.58</v>
      </c>
      <c r="O1257" s="59"/>
      <c r="P1257" s="59"/>
      <c r="Q1257" s="51"/>
      <c r="R1257" s="51">
        <f t="shared" ref="R1257:R1268" si="49">N1257+Q1257</f>
        <v>81745.58</v>
      </c>
      <c r="S1257" s="51"/>
      <c r="T1257" s="52" t="s">
        <v>52</v>
      </c>
      <c r="U1257" s="51"/>
      <c r="V1257" s="51"/>
      <c r="W1257" s="51"/>
      <c r="X1257" s="51"/>
      <c r="Y1257" s="19" t="s">
        <v>1622</v>
      </c>
      <c r="Z1257" s="19"/>
      <c r="AA1257" s="28" t="s">
        <v>8460</v>
      </c>
      <c r="AB1257" s="56">
        <v>43455</v>
      </c>
      <c r="AC1257" s="28" t="s">
        <v>8461</v>
      </c>
      <c r="AD1257" s="102" t="s">
        <v>8462</v>
      </c>
      <c r="AE1257" s="54" t="s">
        <v>8486</v>
      </c>
      <c r="AF1257" s="54"/>
      <c r="AG1257" s="54" t="s">
        <v>1661</v>
      </c>
      <c r="AH1257" s="53" t="s">
        <v>1591</v>
      </c>
      <c r="AI1257" s="53" t="s">
        <v>2686</v>
      </c>
      <c r="AJ1257" s="53" t="s">
        <v>1591</v>
      </c>
    </row>
    <row r="1258" spans="1:36" s="3" customFormat="1" ht="36" x14ac:dyDescent="0.25">
      <c r="A1258" s="17" t="s">
        <v>1605</v>
      </c>
      <c r="B1258" s="18" t="s">
        <v>37</v>
      </c>
      <c r="C1258" s="19" t="s">
        <v>1770</v>
      </c>
      <c r="D1258" s="45" t="s">
        <v>1771</v>
      </c>
      <c r="E1258" s="50" t="s">
        <v>180</v>
      </c>
      <c r="F1258" s="58" t="s">
        <v>180</v>
      </c>
      <c r="G1258" s="51"/>
      <c r="H1258" s="51"/>
      <c r="I1258" s="50" t="s">
        <v>524</v>
      </c>
      <c r="J1258" s="58" t="s">
        <v>1609</v>
      </c>
      <c r="K1258" s="52" t="s">
        <v>1772</v>
      </c>
      <c r="L1258" s="59">
        <v>42108</v>
      </c>
      <c r="M1258" s="60">
        <f>L1258+90</f>
        <v>42198</v>
      </c>
      <c r="N1258" s="51">
        <v>67475.8</v>
      </c>
      <c r="O1258" s="59">
        <v>42199</v>
      </c>
      <c r="P1258" s="59" t="s">
        <v>1728</v>
      </c>
      <c r="Q1258" s="51"/>
      <c r="R1258" s="51">
        <f t="shared" si="49"/>
        <v>67475.8</v>
      </c>
      <c r="S1258" s="51"/>
      <c r="T1258" s="52" t="s">
        <v>45</v>
      </c>
      <c r="U1258" s="51">
        <v>67475.8</v>
      </c>
      <c r="V1258" s="51"/>
      <c r="W1258" s="51"/>
      <c r="X1258" s="51"/>
      <c r="Y1258" s="19" t="s">
        <v>1612</v>
      </c>
      <c r="Z1258" s="19"/>
      <c r="AA1258" s="28" t="s">
        <v>8460</v>
      </c>
      <c r="AB1258" s="56">
        <v>43455</v>
      </c>
      <c r="AC1258" s="28" t="s">
        <v>8461</v>
      </c>
      <c r="AD1258" s="102" t="s">
        <v>8462</v>
      </c>
      <c r="AE1258" s="54" t="s">
        <v>8486</v>
      </c>
      <c r="AF1258" s="54"/>
      <c r="AG1258" s="54" t="s">
        <v>1661</v>
      </c>
      <c r="AH1258" s="53" t="s">
        <v>1591</v>
      </c>
      <c r="AI1258" s="53" t="s">
        <v>2686</v>
      </c>
      <c r="AJ1258" s="53" t="s">
        <v>1591</v>
      </c>
    </row>
    <row r="1259" spans="1:36" s="3" customFormat="1" ht="36" x14ac:dyDescent="0.25">
      <c r="A1259" s="17" t="s">
        <v>1605</v>
      </c>
      <c r="B1259" s="18" t="s">
        <v>37</v>
      </c>
      <c r="C1259" s="19" t="s">
        <v>1793</v>
      </c>
      <c r="D1259" s="45" t="s">
        <v>1794</v>
      </c>
      <c r="E1259" s="50" t="s">
        <v>180</v>
      </c>
      <c r="F1259" s="58" t="s">
        <v>180</v>
      </c>
      <c r="G1259" s="51"/>
      <c r="H1259" s="51"/>
      <c r="I1259" s="50" t="s">
        <v>684</v>
      </c>
      <c r="J1259" s="58" t="s">
        <v>1795</v>
      </c>
      <c r="K1259" s="52" t="s">
        <v>1796</v>
      </c>
      <c r="L1259" s="59">
        <v>42422</v>
      </c>
      <c r="M1259" s="60">
        <f>L1259+60</f>
        <v>42482</v>
      </c>
      <c r="N1259" s="51">
        <v>60123.519999999997</v>
      </c>
      <c r="O1259" s="59">
        <v>42482</v>
      </c>
      <c r="P1259" s="59" t="s">
        <v>180</v>
      </c>
      <c r="Q1259" s="51"/>
      <c r="R1259" s="51">
        <f t="shared" si="49"/>
        <v>60123.519999999997</v>
      </c>
      <c r="S1259" s="51"/>
      <c r="T1259" s="52" t="s">
        <v>40</v>
      </c>
      <c r="U1259" s="51">
        <v>55945.52</v>
      </c>
      <c r="V1259" s="51"/>
      <c r="W1259" s="51"/>
      <c r="X1259" s="51"/>
      <c r="Y1259" s="19" t="s">
        <v>1622</v>
      </c>
      <c r="Z1259" s="19"/>
      <c r="AA1259" s="28" t="s">
        <v>8460</v>
      </c>
      <c r="AB1259" s="56">
        <v>43455</v>
      </c>
      <c r="AC1259" s="28" t="s">
        <v>8461</v>
      </c>
      <c r="AD1259" s="102" t="s">
        <v>8462</v>
      </c>
      <c r="AE1259" s="54" t="s">
        <v>8486</v>
      </c>
      <c r="AF1259" s="54"/>
      <c r="AG1259" s="54" t="s">
        <v>1661</v>
      </c>
      <c r="AH1259" s="53" t="s">
        <v>1591</v>
      </c>
      <c r="AI1259" s="53" t="s">
        <v>2686</v>
      </c>
      <c r="AJ1259" s="53" t="s">
        <v>1591</v>
      </c>
    </row>
    <row r="1260" spans="1:36" s="3" customFormat="1" ht="36" x14ac:dyDescent="0.25">
      <c r="A1260" s="17" t="s">
        <v>1605</v>
      </c>
      <c r="B1260" s="18" t="s">
        <v>37</v>
      </c>
      <c r="C1260" s="19" t="s">
        <v>1686</v>
      </c>
      <c r="D1260" s="45" t="s">
        <v>8485</v>
      </c>
      <c r="E1260" s="50" t="s">
        <v>46</v>
      </c>
      <c r="F1260" s="58" t="s">
        <v>46</v>
      </c>
      <c r="G1260" s="51" t="s">
        <v>46</v>
      </c>
      <c r="H1260" s="51">
        <v>22391.32</v>
      </c>
      <c r="I1260" s="50" t="s">
        <v>545</v>
      </c>
      <c r="J1260" s="58" t="s">
        <v>546</v>
      </c>
      <c r="K1260" s="52" t="s">
        <v>1687</v>
      </c>
      <c r="L1260" s="59">
        <v>41913</v>
      </c>
      <c r="M1260" s="60">
        <f>L1260+30</f>
        <v>41943</v>
      </c>
      <c r="N1260" s="51">
        <v>22391.32</v>
      </c>
      <c r="O1260" s="59">
        <v>41958</v>
      </c>
      <c r="P1260" s="59">
        <f>M1260+40</f>
        <v>41983</v>
      </c>
      <c r="Q1260" s="51">
        <v>26441.57</v>
      </c>
      <c r="R1260" s="51">
        <f t="shared" si="49"/>
        <v>48832.89</v>
      </c>
      <c r="S1260" s="51"/>
      <c r="T1260" s="52" t="s">
        <v>45</v>
      </c>
      <c r="U1260" s="51">
        <v>22391.31</v>
      </c>
      <c r="V1260" s="51" t="s">
        <v>46</v>
      </c>
      <c r="W1260" s="51"/>
      <c r="X1260" s="51"/>
      <c r="Y1260" s="19" t="s">
        <v>1612</v>
      </c>
      <c r="Z1260" s="19" t="s">
        <v>4310</v>
      </c>
      <c r="AA1260" s="28" t="s">
        <v>8460</v>
      </c>
      <c r="AB1260" s="56">
        <v>43455</v>
      </c>
      <c r="AC1260" s="28" t="s">
        <v>8461</v>
      </c>
      <c r="AD1260" s="102" t="s">
        <v>8462</v>
      </c>
      <c r="AE1260" s="54" t="s">
        <v>8486</v>
      </c>
      <c r="AF1260" s="54"/>
      <c r="AG1260" s="54" t="s">
        <v>1661</v>
      </c>
      <c r="AH1260" s="53" t="s">
        <v>1591</v>
      </c>
      <c r="AI1260" s="53" t="s">
        <v>2686</v>
      </c>
      <c r="AJ1260" s="53" t="s">
        <v>1591</v>
      </c>
    </row>
    <row r="1261" spans="1:36" s="3" customFormat="1" ht="36" x14ac:dyDescent="0.25">
      <c r="A1261" s="17" t="s">
        <v>1605</v>
      </c>
      <c r="B1261" s="18" t="s">
        <v>37</v>
      </c>
      <c r="C1261" s="19" t="s">
        <v>1734</v>
      </c>
      <c r="D1261" s="45" t="s">
        <v>1735</v>
      </c>
      <c r="E1261" s="50" t="s">
        <v>180</v>
      </c>
      <c r="F1261" s="58" t="s">
        <v>180</v>
      </c>
      <c r="G1261" s="51"/>
      <c r="H1261" s="51"/>
      <c r="I1261" s="50" t="s">
        <v>1722</v>
      </c>
      <c r="J1261" s="58" t="s">
        <v>1708</v>
      </c>
      <c r="K1261" s="52" t="s">
        <v>1736</v>
      </c>
      <c r="L1261" s="59">
        <v>42334</v>
      </c>
      <c r="M1261" s="60">
        <f>L1261+60</f>
        <v>42394</v>
      </c>
      <c r="N1261" s="51">
        <v>38738.629999999997</v>
      </c>
      <c r="O1261" s="59">
        <v>42395</v>
      </c>
      <c r="P1261" s="59">
        <f>M1261+4*30</f>
        <v>42514</v>
      </c>
      <c r="Q1261" s="51">
        <v>7159.81</v>
      </c>
      <c r="R1261" s="51">
        <f t="shared" si="49"/>
        <v>45898.439999999995</v>
      </c>
      <c r="S1261" s="51"/>
      <c r="T1261" s="52" t="s">
        <v>45</v>
      </c>
      <c r="U1261" s="51">
        <v>38738.629999999997</v>
      </c>
      <c r="V1261" s="51"/>
      <c r="W1261" s="51"/>
      <c r="X1261" s="51"/>
      <c r="Y1261" s="19" t="s">
        <v>646</v>
      </c>
      <c r="Z1261" s="19"/>
      <c r="AA1261" s="28" t="s">
        <v>8460</v>
      </c>
      <c r="AB1261" s="56">
        <v>43455</v>
      </c>
      <c r="AC1261" s="28" t="s">
        <v>8461</v>
      </c>
      <c r="AD1261" s="102" t="s">
        <v>8462</v>
      </c>
      <c r="AE1261" s="54" t="s">
        <v>8486</v>
      </c>
      <c r="AF1261" s="54"/>
      <c r="AG1261" s="54" t="s">
        <v>1661</v>
      </c>
      <c r="AH1261" s="53" t="s">
        <v>1591</v>
      </c>
      <c r="AI1261" s="53" t="s">
        <v>2686</v>
      </c>
      <c r="AJ1261" s="53" t="s">
        <v>1591</v>
      </c>
    </row>
    <row r="1262" spans="1:36" s="3" customFormat="1" ht="48" x14ac:dyDescent="0.25">
      <c r="A1262" s="17" t="s">
        <v>1605</v>
      </c>
      <c r="B1262" s="18" t="s">
        <v>37</v>
      </c>
      <c r="C1262" s="19" t="s">
        <v>1791</v>
      </c>
      <c r="D1262" s="45" t="s">
        <v>1792</v>
      </c>
      <c r="E1262" s="50" t="s">
        <v>180</v>
      </c>
      <c r="F1262" s="58" t="s">
        <v>180</v>
      </c>
      <c r="G1262" s="51"/>
      <c r="H1262" s="51"/>
      <c r="I1262" s="50" t="s">
        <v>1725</v>
      </c>
      <c r="J1262" s="58" t="s">
        <v>1726</v>
      </c>
      <c r="K1262" s="52" t="s">
        <v>1546</v>
      </c>
      <c r="L1262" s="59">
        <v>42111</v>
      </c>
      <c r="M1262" s="60">
        <f>L1262+60</f>
        <v>42171</v>
      </c>
      <c r="N1262" s="51">
        <v>25287.37</v>
      </c>
      <c r="O1262" s="59">
        <v>42172</v>
      </c>
      <c r="P1262" s="59" t="s">
        <v>3323</v>
      </c>
      <c r="Q1262" s="51">
        <v>3111.24</v>
      </c>
      <c r="R1262" s="51">
        <f t="shared" si="49"/>
        <v>28398.61</v>
      </c>
      <c r="S1262" s="51"/>
      <c r="T1262" s="52" t="s">
        <v>45</v>
      </c>
      <c r="U1262" s="51">
        <v>28391.61</v>
      </c>
      <c r="V1262" s="51"/>
      <c r="W1262" s="51"/>
      <c r="X1262" s="51"/>
      <c r="Y1262" s="19" t="s">
        <v>1612</v>
      </c>
      <c r="Z1262" s="19"/>
      <c r="AA1262" s="28" t="s">
        <v>8460</v>
      </c>
      <c r="AB1262" s="56">
        <v>43455</v>
      </c>
      <c r="AC1262" s="28" t="s">
        <v>8461</v>
      </c>
      <c r="AD1262" s="102" t="s">
        <v>8462</v>
      </c>
      <c r="AE1262" s="54" t="s">
        <v>8486</v>
      </c>
      <c r="AF1262" s="54"/>
      <c r="AG1262" s="54" t="s">
        <v>1661</v>
      </c>
      <c r="AH1262" s="53" t="s">
        <v>1591</v>
      </c>
      <c r="AI1262" s="53" t="s">
        <v>2686</v>
      </c>
      <c r="AJ1262" s="53" t="s">
        <v>1591</v>
      </c>
    </row>
    <row r="1263" spans="1:36" s="3" customFormat="1" ht="36" x14ac:dyDescent="0.25">
      <c r="A1263" s="17" t="s">
        <v>1605</v>
      </c>
      <c r="B1263" s="18" t="s">
        <v>37</v>
      </c>
      <c r="C1263" s="19" t="s">
        <v>1712</v>
      </c>
      <c r="D1263" s="45" t="s">
        <v>1713</v>
      </c>
      <c r="E1263" s="50" t="s">
        <v>180</v>
      </c>
      <c r="F1263" s="58" t="s">
        <v>180</v>
      </c>
      <c r="G1263" s="51"/>
      <c r="H1263" s="51"/>
      <c r="I1263" s="50" t="s">
        <v>1714</v>
      </c>
      <c r="J1263" s="58" t="s">
        <v>1715</v>
      </c>
      <c r="K1263" s="52" t="s">
        <v>1716</v>
      </c>
      <c r="L1263" s="59">
        <v>42255</v>
      </c>
      <c r="M1263" s="60">
        <f>L1263+365</f>
        <v>42620</v>
      </c>
      <c r="N1263" s="51">
        <v>27000</v>
      </c>
      <c r="O1263" s="59">
        <v>42640</v>
      </c>
      <c r="P1263" s="59" t="s">
        <v>1728</v>
      </c>
      <c r="Q1263" s="51"/>
      <c r="R1263" s="51">
        <f t="shared" si="49"/>
        <v>27000</v>
      </c>
      <c r="S1263" s="51"/>
      <c r="T1263" s="52" t="s">
        <v>1083</v>
      </c>
      <c r="U1263" s="51">
        <v>8854.83</v>
      </c>
      <c r="V1263" s="51"/>
      <c r="W1263" s="51"/>
      <c r="X1263" s="51"/>
      <c r="Y1263" s="19" t="s">
        <v>1622</v>
      </c>
      <c r="Z1263" s="19"/>
      <c r="AA1263" s="28" t="s">
        <v>8460</v>
      </c>
      <c r="AB1263" s="56">
        <v>43455</v>
      </c>
      <c r="AC1263" s="28" t="s">
        <v>8461</v>
      </c>
      <c r="AD1263" s="102" t="s">
        <v>8462</v>
      </c>
      <c r="AE1263" s="54" t="s">
        <v>8486</v>
      </c>
      <c r="AF1263" s="54"/>
      <c r="AG1263" s="54" t="s">
        <v>1661</v>
      </c>
      <c r="AH1263" s="53" t="s">
        <v>1591</v>
      </c>
      <c r="AI1263" s="53" t="s">
        <v>2686</v>
      </c>
      <c r="AJ1263" s="53" t="s">
        <v>1591</v>
      </c>
    </row>
    <row r="1264" spans="1:36" s="3" customFormat="1" ht="36" x14ac:dyDescent="0.25">
      <c r="A1264" s="17" t="s">
        <v>1605</v>
      </c>
      <c r="B1264" s="18" t="s">
        <v>37</v>
      </c>
      <c r="C1264" s="19" t="s">
        <v>1773</v>
      </c>
      <c r="D1264" s="45" t="s">
        <v>1774</v>
      </c>
      <c r="E1264" s="50" t="s">
        <v>180</v>
      </c>
      <c r="F1264" s="58" t="s">
        <v>180</v>
      </c>
      <c r="G1264" s="51"/>
      <c r="H1264" s="51"/>
      <c r="I1264" s="50" t="s">
        <v>1775</v>
      </c>
      <c r="J1264" s="58" t="s">
        <v>1640</v>
      </c>
      <c r="K1264" s="52" t="s">
        <v>1776</v>
      </c>
      <c r="L1264" s="59">
        <v>42080</v>
      </c>
      <c r="M1264" s="60">
        <f>L1264+90</f>
        <v>42170</v>
      </c>
      <c r="N1264" s="51">
        <v>19146.990000000002</v>
      </c>
      <c r="O1264" s="59">
        <v>42172</v>
      </c>
      <c r="P1264" s="59" t="s">
        <v>3319</v>
      </c>
      <c r="Q1264" s="51">
        <v>4785.8599999999997</v>
      </c>
      <c r="R1264" s="51">
        <f t="shared" si="49"/>
        <v>23932.850000000002</v>
      </c>
      <c r="S1264" s="51"/>
      <c r="T1264" s="52" t="s">
        <v>45</v>
      </c>
      <c r="U1264" s="51">
        <v>22932.85</v>
      </c>
      <c r="V1264" s="51"/>
      <c r="W1264" s="51"/>
      <c r="X1264" s="51"/>
      <c r="Y1264" s="19" t="s">
        <v>1612</v>
      </c>
      <c r="Z1264" s="19"/>
      <c r="AA1264" s="28" t="s">
        <v>8460</v>
      </c>
      <c r="AB1264" s="56">
        <v>43455</v>
      </c>
      <c r="AC1264" s="28" t="s">
        <v>8461</v>
      </c>
      <c r="AD1264" s="102" t="s">
        <v>8462</v>
      </c>
      <c r="AE1264" s="54" t="s">
        <v>8486</v>
      </c>
      <c r="AF1264" s="54"/>
      <c r="AG1264" s="54" t="s">
        <v>1661</v>
      </c>
      <c r="AH1264" s="53" t="s">
        <v>1591</v>
      </c>
      <c r="AI1264" s="53" t="s">
        <v>2686</v>
      </c>
      <c r="AJ1264" s="53" t="s">
        <v>1591</v>
      </c>
    </row>
    <row r="1265" spans="1:36" s="3" customFormat="1" ht="36" x14ac:dyDescent="0.25">
      <c r="A1265" s="17" t="s">
        <v>1605</v>
      </c>
      <c r="B1265" s="18" t="s">
        <v>37</v>
      </c>
      <c r="C1265" s="19" t="s">
        <v>1766</v>
      </c>
      <c r="D1265" s="45" t="s">
        <v>1767</v>
      </c>
      <c r="E1265" s="50" t="s">
        <v>180</v>
      </c>
      <c r="F1265" s="58" t="s">
        <v>180</v>
      </c>
      <c r="G1265" s="51"/>
      <c r="H1265" s="51"/>
      <c r="I1265" s="50" t="s">
        <v>1768</v>
      </c>
      <c r="J1265" s="58" t="s">
        <v>1726</v>
      </c>
      <c r="K1265" s="52" t="s">
        <v>1769</v>
      </c>
      <c r="L1265" s="59">
        <v>42230</v>
      </c>
      <c r="M1265" s="60">
        <f>L1265+60</f>
        <v>42290</v>
      </c>
      <c r="N1265" s="51">
        <v>14573.29</v>
      </c>
      <c r="O1265" s="59">
        <v>42291</v>
      </c>
      <c r="P1265" s="59" t="s">
        <v>1728</v>
      </c>
      <c r="Q1265" s="51"/>
      <c r="R1265" s="51">
        <f t="shared" si="49"/>
        <v>14573.29</v>
      </c>
      <c r="S1265" s="51"/>
      <c r="T1265" s="52" t="s">
        <v>40</v>
      </c>
      <c r="U1265" s="51">
        <v>14573.29</v>
      </c>
      <c r="V1265" s="51"/>
      <c r="W1265" s="51"/>
      <c r="X1265" s="51"/>
      <c r="Y1265" s="19" t="s">
        <v>1612</v>
      </c>
      <c r="Z1265" s="19"/>
      <c r="AA1265" s="28" t="s">
        <v>8460</v>
      </c>
      <c r="AB1265" s="56">
        <v>43455</v>
      </c>
      <c r="AC1265" s="28" t="s">
        <v>8461</v>
      </c>
      <c r="AD1265" s="102" t="s">
        <v>8462</v>
      </c>
      <c r="AE1265" s="54" t="s">
        <v>8486</v>
      </c>
      <c r="AF1265" s="54"/>
      <c r="AG1265" s="54" t="s">
        <v>1661</v>
      </c>
      <c r="AH1265" s="53" t="s">
        <v>1591</v>
      </c>
      <c r="AI1265" s="53" t="s">
        <v>2686</v>
      </c>
      <c r="AJ1265" s="53" t="s">
        <v>1591</v>
      </c>
    </row>
    <row r="1266" spans="1:36" s="3" customFormat="1" ht="36" x14ac:dyDescent="0.25">
      <c r="A1266" s="17" t="s">
        <v>1605</v>
      </c>
      <c r="B1266" s="18" t="s">
        <v>37</v>
      </c>
      <c r="C1266" s="19" t="s">
        <v>1783</v>
      </c>
      <c r="D1266" s="45" t="s">
        <v>1784</v>
      </c>
      <c r="E1266" s="50" t="s">
        <v>180</v>
      </c>
      <c r="F1266" s="58" t="s">
        <v>180</v>
      </c>
      <c r="G1266" s="51"/>
      <c r="H1266" s="51"/>
      <c r="I1266" s="50" t="s">
        <v>524</v>
      </c>
      <c r="J1266" s="58" t="s">
        <v>1609</v>
      </c>
      <c r="K1266" s="52" t="s">
        <v>87</v>
      </c>
      <c r="L1266" s="59">
        <v>42111</v>
      </c>
      <c r="M1266" s="60">
        <f>L1266+90</f>
        <v>42201</v>
      </c>
      <c r="N1266" s="51">
        <v>7333.16</v>
      </c>
      <c r="O1266" s="59">
        <v>42202</v>
      </c>
      <c r="P1266" s="59" t="s">
        <v>1728</v>
      </c>
      <c r="Q1266" s="51"/>
      <c r="R1266" s="51">
        <f t="shared" si="49"/>
        <v>7333.16</v>
      </c>
      <c r="S1266" s="51"/>
      <c r="T1266" s="52" t="s">
        <v>45</v>
      </c>
      <c r="U1266" s="51">
        <v>7333.16</v>
      </c>
      <c r="V1266" s="51"/>
      <c r="W1266" s="51"/>
      <c r="X1266" s="51"/>
      <c r="Y1266" s="19" t="s">
        <v>1612</v>
      </c>
      <c r="Z1266" s="19"/>
      <c r="AA1266" s="28" t="s">
        <v>8460</v>
      </c>
      <c r="AB1266" s="56">
        <v>43455</v>
      </c>
      <c r="AC1266" s="28" t="s">
        <v>8461</v>
      </c>
      <c r="AD1266" s="102" t="s">
        <v>8462</v>
      </c>
      <c r="AE1266" s="54" t="s">
        <v>8486</v>
      </c>
      <c r="AF1266" s="54"/>
      <c r="AG1266" s="54" t="s">
        <v>1661</v>
      </c>
      <c r="AH1266" s="53" t="s">
        <v>1591</v>
      </c>
      <c r="AI1266" s="53" t="s">
        <v>2686</v>
      </c>
      <c r="AJ1266" s="53" t="s">
        <v>1591</v>
      </c>
    </row>
    <row r="1267" spans="1:36" s="3" customFormat="1" ht="36" x14ac:dyDescent="0.25">
      <c r="A1267" s="17" t="s">
        <v>1605</v>
      </c>
      <c r="B1267" s="18" t="s">
        <v>37</v>
      </c>
      <c r="C1267" s="19" t="s">
        <v>1789</v>
      </c>
      <c r="D1267" s="45" t="s">
        <v>1790</v>
      </c>
      <c r="E1267" s="50" t="s">
        <v>180</v>
      </c>
      <c r="F1267" s="58" t="s">
        <v>180</v>
      </c>
      <c r="G1267" s="51"/>
      <c r="H1267" s="51"/>
      <c r="I1267" s="50" t="s">
        <v>1722</v>
      </c>
      <c r="J1267" s="58" t="s">
        <v>1708</v>
      </c>
      <c r="K1267" s="52" t="s">
        <v>100</v>
      </c>
      <c r="L1267" s="59">
        <v>42072</v>
      </c>
      <c r="M1267" s="60">
        <f>L1267+60</f>
        <v>42132</v>
      </c>
      <c r="N1267" s="51">
        <v>3537.56</v>
      </c>
      <c r="O1267" s="59">
        <v>42133</v>
      </c>
      <c r="P1267" s="59" t="s">
        <v>3322</v>
      </c>
      <c r="Q1267" s="51">
        <v>884.39</v>
      </c>
      <c r="R1267" s="51">
        <f t="shared" si="49"/>
        <v>4421.95</v>
      </c>
      <c r="S1267" s="51"/>
      <c r="T1267" s="52" t="s">
        <v>45</v>
      </c>
      <c r="U1267" s="51">
        <v>4421.95</v>
      </c>
      <c r="V1267" s="51"/>
      <c r="W1267" s="51"/>
      <c r="X1267" s="51"/>
      <c r="Y1267" s="19" t="s">
        <v>1612</v>
      </c>
      <c r="Z1267" s="19"/>
      <c r="AA1267" s="28" t="s">
        <v>8460</v>
      </c>
      <c r="AB1267" s="56">
        <v>43455</v>
      </c>
      <c r="AC1267" s="28" t="s">
        <v>8461</v>
      </c>
      <c r="AD1267" s="102" t="s">
        <v>8462</v>
      </c>
      <c r="AE1267" s="54" t="s">
        <v>8486</v>
      </c>
      <c r="AF1267" s="54"/>
      <c r="AG1267" s="54" t="s">
        <v>1661</v>
      </c>
      <c r="AH1267" s="53" t="s">
        <v>1591</v>
      </c>
      <c r="AI1267" s="53" t="s">
        <v>2686</v>
      </c>
      <c r="AJ1267" s="53" t="s">
        <v>1591</v>
      </c>
    </row>
    <row r="1268" spans="1:36" s="3" customFormat="1" ht="36" x14ac:dyDescent="0.25">
      <c r="A1268" s="17" t="s">
        <v>1605</v>
      </c>
      <c r="B1268" s="18" t="s">
        <v>37</v>
      </c>
      <c r="C1268" s="19" t="s">
        <v>3116</v>
      </c>
      <c r="D1268" s="45" t="s">
        <v>3117</v>
      </c>
      <c r="E1268" s="50" t="s">
        <v>180</v>
      </c>
      <c r="F1268" s="58" t="s">
        <v>180</v>
      </c>
      <c r="G1268" s="51">
        <v>6600</v>
      </c>
      <c r="H1268" s="51"/>
      <c r="I1268" s="50" t="s">
        <v>3288</v>
      </c>
      <c r="J1268" s="58" t="s">
        <v>3289</v>
      </c>
      <c r="K1268" s="52" t="s">
        <v>3290</v>
      </c>
      <c r="L1268" s="59" t="s">
        <v>180</v>
      </c>
      <c r="M1268" s="60" t="s">
        <v>180</v>
      </c>
      <c r="N1268" s="51"/>
      <c r="O1268" s="59" t="s">
        <v>180</v>
      </c>
      <c r="P1268" s="59" t="s">
        <v>180</v>
      </c>
      <c r="Q1268" s="51"/>
      <c r="R1268" s="51">
        <f t="shared" si="49"/>
        <v>0</v>
      </c>
      <c r="S1268" s="51"/>
      <c r="T1268" s="52" t="s">
        <v>180</v>
      </c>
      <c r="U1268" s="51"/>
      <c r="V1268" s="51"/>
      <c r="W1268" s="51"/>
      <c r="X1268" s="51"/>
      <c r="Y1268" s="19" t="s">
        <v>646</v>
      </c>
      <c r="Z1268" s="19" t="s">
        <v>4307</v>
      </c>
      <c r="AA1268" s="28" t="s">
        <v>8460</v>
      </c>
      <c r="AB1268" s="56">
        <v>43455</v>
      </c>
      <c r="AC1268" s="28" t="s">
        <v>8461</v>
      </c>
      <c r="AD1268" s="102" t="s">
        <v>8462</v>
      </c>
      <c r="AE1268" s="54" t="s">
        <v>8486</v>
      </c>
      <c r="AF1268" s="54"/>
      <c r="AG1268" s="54" t="s">
        <v>1661</v>
      </c>
      <c r="AH1268" s="53" t="s">
        <v>1591</v>
      </c>
      <c r="AI1268" s="53" t="s">
        <v>2686</v>
      </c>
      <c r="AJ1268" s="53" t="s">
        <v>1591</v>
      </c>
    </row>
    <row r="1269" spans="1:36" s="3" customFormat="1" ht="36" x14ac:dyDescent="0.25">
      <c r="A1269" s="17" t="s">
        <v>1605</v>
      </c>
      <c r="B1269" s="18" t="s">
        <v>37</v>
      </c>
      <c r="C1269" s="19" t="s">
        <v>3118</v>
      </c>
      <c r="D1269" s="45" t="s">
        <v>3117</v>
      </c>
      <c r="E1269" s="50" t="s">
        <v>180</v>
      </c>
      <c r="F1269" s="58" t="s">
        <v>180</v>
      </c>
      <c r="G1269" s="51">
        <v>9600</v>
      </c>
      <c r="H1269" s="51"/>
      <c r="I1269" s="50" t="s">
        <v>3288</v>
      </c>
      <c r="J1269" s="58" t="s">
        <v>3289</v>
      </c>
      <c r="K1269" s="52" t="s">
        <v>3291</v>
      </c>
      <c r="L1269" s="59" t="s">
        <v>180</v>
      </c>
      <c r="M1269" s="60" t="s">
        <v>3296</v>
      </c>
      <c r="N1269" s="51"/>
      <c r="O1269" s="59" t="s">
        <v>180</v>
      </c>
      <c r="P1269" s="59" t="s">
        <v>180</v>
      </c>
      <c r="Q1269" s="51"/>
      <c r="R1269" s="51">
        <f>N1269+Q1269</f>
        <v>0</v>
      </c>
      <c r="S1269" s="51"/>
      <c r="T1269" s="52" t="s">
        <v>180</v>
      </c>
      <c r="U1269" s="51"/>
      <c r="V1269" s="51"/>
      <c r="W1269" s="51"/>
      <c r="X1269" s="51"/>
      <c r="Y1269" s="19" t="s">
        <v>646</v>
      </c>
      <c r="Z1269" s="19" t="s">
        <v>4307</v>
      </c>
      <c r="AA1269" s="28" t="s">
        <v>8460</v>
      </c>
      <c r="AB1269" s="56">
        <v>43455</v>
      </c>
      <c r="AC1269" s="28" t="s">
        <v>8461</v>
      </c>
      <c r="AD1269" s="102" t="s">
        <v>8462</v>
      </c>
      <c r="AE1269" s="54" t="s">
        <v>8486</v>
      </c>
      <c r="AF1269" s="54"/>
      <c r="AG1269" s="54" t="s">
        <v>1661</v>
      </c>
      <c r="AH1269" s="53" t="s">
        <v>1591</v>
      </c>
      <c r="AI1269" s="53" t="s">
        <v>2686</v>
      </c>
      <c r="AJ1269" s="53" t="s">
        <v>1591</v>
      </c>
    </row>
    <row r="1270" spans="1:36" s="3" customFormat="1" ht="84" x14ac:dyDescent="0.25">
      <c r="A1270" s="17" t="s">
        <v>1816</v>
      </c>
      <c r="B1270" s="18" t="s">
        <v>37</v>
      </c>
      <c r="C1270" s="19" t="s">
        <v>4060</v>
      </c>
      <c r="D1270" s="45" t="s">
        <v>4061</v>
      </c>
      <c r="E1270" s="50" t="s">
        <v>4212</v>
      </c>
      <c r="F1270" s="58" t="s">
        <v>4211</v>
      </c>
      <c r="G1270" s="51">
        <v>1959902.26</v>
      </c>
      <c r="H1270" s="51">
        <v>0</v>
      </c>
      <c r="I1270" s="50" t="s">
        <v>35</v>
      </c>
      <c r="J1270" s="58" t="s">
        <v>4213</v>
      </c>
      <c r="K1270" s="52" t="s">
        <v>1124</v>
      </c>
      <c r="L1270" s="59">
        <v>42572</v>
      </c>
      <c r="M1270" s="60">
        <f>L1270+180</f>
        <v>42752</v>
      </c>
      <c r="N1270" s="51">
        <v>1925892.11</v>
      </c>
      <c r="O1270" s="59" t="s">
        <v>46</v>
      </c>
      <c r="P1270" s="59">
        <f>M1270+480</f>
        <v>43232</v>
      </c>
      <c r="Q1270" s="51">
        <v>0</v>
      </c>
      <c r="R1270" s="51">
        <f>N1270+Q1270</f>
        <v>1925892.11</v>
      </c>
      <c r="S1270" s="51">
        <v>0</v>
      </c>
      <c r="T1270" s="52" t="s">
        <v>52</v>
      </c>
      <c r="U1270" s="51">
        <v>55650.91</v>
      </c>
      <c r="V1270" s="51">
        <v>55650.91</v>
      </c>
      <c r="W1270" s="51">
        <v>55650.91</v>
      </c>
      <c r="X1270" s="51">
        <v>395716.48</v>
      </c>
      <c r="Y1270" s="19" t="s">
        <v>175</v>
      </c>
      <c r="Z1270" s="19"/>
      <c r="AA1270" s="28" t="s">
        <v>8048</v>
      </c>
      <c r="AB1270" s="56">
        <v>43423</v>
      </c>
      <c r="AC1270" s="28" t="s">
        <v>8049</v>
      </c>
      <c r="AD1270" s="28" t="s">
        <v>8050</v>
      </c>
      <c r="AE1270" s="54" t="s">
        <v>8051</v>
      </c>
      <c r="AF1270" s="54"/>
      <c r="AG1270" s="54" t="s">
        <v>8052</v>
      </c>
      <c r="AH1270" s="53" t="s">
        <v>1591</v>
      </c>
      <c r="AI1270" s="53" t="s">
        <v>2686</v>
      </c>
      <c r="AJ1270" s="53" t="s">
        <v>1591</v>
      </c>
    </row>
    <row r="1271" spans="1:36" s="3" customFormat="1" ht="36" x14ac:dyDescent="0.25">
      <c r="A1271" s="17" t="s">
        <v>1817</v>
      </c>
      <c r="B1271" s="18" t="s">
        <v>37</v>
      </c>
      <c r="C1271" s="76" t="s">
        <v>6323</v>
      </c>
      <c r="D1271" s="45" t="s">
        <v>6324</v>
      </c>
      <c r="E1271" s="78" t="s">
        <v>6325</v>
      </c>
      <c r="F1271" s="79" t="s">
        <v>6326</v>
      </c>
      <c r="G1271" s="80"/>
      <c r="H1271" s="80"/>
      <c r="I1271" s="78" t="s">
        <v>853</v>
      </c>
      <c r="J1271" s="79" t="s">
        <v>6327</v>
      </c>
      <c r="K1271" s="81" t="s">
        <v>861</v>
      </c>
      <c r="L1271" s="82">
        <v>42528</v>
      </c>
      <c r="M1271" s="83">
        <v>42708</v>
      </c>
      <c r="N1271" s="80">
        <v>532079.94999999995</v>
      </c>
      <c r="O1271" s="82"/>
      <c r="P1271" s="84"/>
      <c r="Q1271" s="80">
        <v>0</v>
      </c>
      <c r="R1271" s="80">
        <v>532079.94999999995</v>
      </c>
      <c r="S1271" s="80"/>
      <c r="T1271" s="81" t="s">
        <v>132</v>
      </c>
      <c r="U1271" s="80"/>
      <c r="V1271" s="80"/>
      <c r="W1271" s="80"/>
      <c r="X1271" s="80">
        <v>612250.76</v>
      </c>
      <c r="Y1271" s="76" t="s">
        <v>175</v>
      </c>
      <c r="Z1271" s="19" t="s">
        <v>7038</v>
      </c>
      <c r="AA1271" s="28" t="s">
        <v>8332</v>
      </c>
      <c r="AB1271" s="56">
        <v>43416</v>
      </c>
      <c r="AC1271" s="28" t="s">
        <v>8333</v>
      </c>
      <c r="AD1271" s="28" t="s">
        <v>8334</v>
      </c>
      <c r="AE1271" s="54" t="s">
        <v>8337</v>
      </c>
      <c r="AF1271" s="54"/>
      <c r="AG1271" s="54" t="s">
        <v>8336</v>
      </c>
      <c r="AH1271" s="53" t="s">
        <v>1591</v>
      </c>
      <c r="AI1271" s="53" t="s">
        <v>2686</v>
      </c>
      <c r="AJ1271" s="53" t="s">
        <v>1591</v>
      </c>
    </row>
    <row r="1272" spans="1:36" s="3" customFormat="1" ht="36" x14ac:dyDescent="0.25">
      <c r="A1272" s="17" t="s">
        <v>1817</v>
      </c>
      <c r="B1272" s="18" t="s">
        <v>37</v>
      </c>
      <c r="C1272" s="76" t="s">
        <v>6329</v>
      </c>
      <c r="D1272" s="45" t="s">
        <v>6330</v>
      </c>
      <c r="E1272" s="78" t="s">
        <v>6325</v>
      </c>
      <c r="F1272" s="79" t="s">
        <v>6331</v>
      </c>
      <c r="G1272" s="80">
        <v>0</v>
      </c>
      <c r="H1272" s="80">
        <v>0</v>
      </c>
      <c r="I1272" s="78" t="s">
        <v>1146</v>
      </c>
      <c r="J1272" s="79" t="s">
        <v>6332</v>
      </c>
      <c r="K1272" s="81" t="s">
        <v>1105</v>
      </c>
      <c r="L1272" s="82">
        <v>42156</v>
      </c>
      <c r="M1272" s="83">
        <v>42521</v>
      </c>
      <c r="N1272" s="80">
        <v>402373.77</v>
      </c>
      <c r="O1272" s="82"/>
      <c r="P1272" s="84"/>
      <c r="Q1272" s="80">
        <v>0</v>
      </c>
      <c r="R1272" s="80">
        <v>402373.77</v>
      </c>
      <c r="S1272" s="80"/>
      <c r="T1272" s="81" t="s">
        <v>132</v>
      </c>
      <c r="U1272" s="80">
        <v>106774.58</v>
      </c>
      <c r="V1272" s="80"/>
      <c r="W1272" s="80"/>
      <c r="X1272" s="80">
        <v>106774.58</v>
      </c>
      <c r="Y1272" s="76" t="s">
        <v>175</v>
      </c>
      <c r="Z1272" s="19" t="s">
        <v>7038</v>
      </c>
      <c r="AA1272" s="28" t="s">
        <v>8332</v>
      </c>
      <c r="AB1272" s="56">
        <v>43416</v>
      </c>
      <c r="AC1272" s="28" t="s">
        <v>8333</v>
      </c>
      <c r="AD1272" s="28" t="s">
        <v>8334</v>
      </c>
      <c r="AE1272" s="54"/>
      <c r="AF1272" s="54"/>
      <c r="AG1272" s="54" t="s">
        <v>8339</v>
      </c>
      <c r="AH1272" s="53" t="s">
        <v>1591</v>
      </c>
      <c r="AI1272" s="53" t="s">
        <v>2686</v>
      </c>
      <c r="AJ1272" s="53" t="s">
        <v>1591</v>
      </c>
    </row>
    <row r="1273" spans="1:36" s="3" customFormat="1" ht="36" x14ac:dyDescent="0.25">
      <c r="A1273" s="17" t="s">
        <v>1817</v>
      </c>
      <c r="B1273" s="18" t="s">
        <v>37</v>
      </c>
      <c r="C1273" s="19" t="s">
        <v>3391</v>
      </c>
      <c r="D1273" s="45" t="s">
        <v>4062</v>
      </c>
      <c r="E1273" s="50" t="s">
        <v>4214</v>
      </c>
      <c r="F1273" s="58" t="s">
        <v>815</v>
      </c>
      <c r="G1273" s="51">
        <v>240556.05</v>
      </c>
      <c r="H1273" s="51"/>
      <c r="I1273" s="50" t="s">
        <v>1818</v>
      </c>
      <c r="J1273" s="58" t="s">
        <v>1819</v>
      </c>
      <c r="K1273" s="52" t="s">
        <v>126</v>
      </c>
      <c r="L1273" s="59" t="s">
        <v>2751</v>
      </c>
      <c r="M1273" s="60">
        <f>L1273+180</f>
        <v>42218</v>
      </c>
      <c r="N1273" s="51">
        <v>239117.9</v>
      </c>
      <c r="O1273" s="59"/>
      <c r="P1273" s="59">
        <f>M1273+540</f>
        <v>42758</v>
      </c>
      <c r="Q1273" s="51"/>
      <c r="R1273" s="51">
        <f>N1273+Q1273</f>
        <v>239117.9</v>
      </c>
      <c r="S1273" s="51"/>
      <c r="T1273" s="52" t="s">
        <v>32</v>
      </c>
      <c r="U1273" s="51">
        <v>46682.71</v>
      </c>
      <c r="V1273" s="51">
        <v>46682.71</v>
      </c>
      <c r="W1273" s="51"/>
      <c r="X1273" s="51">
        <v>46682.71</v>
      </c>
      <c r="Y1273" s="19" t="s">
        <v>157</v>
      </c>
      <c r="Z1273" s="19"/>
      <c r="AA1273" s="28" t="s">
        <v>8332</v>
      </c>
      <c r="AB1273" s="56">
        <v>43416</v>
      </c>
      <c r="AC1273" s="28" t="s">
        <v>8333</v>
      </c>
      <c r="AD1273" s="28" t="s">
        <v>8334</v>
      </c>
      <c r="AE1273" s="54"/>
      <c r="AF1273" s="54"/>
      <c r="AG1273" s="54" t="s">
        <v>8335</v>
      </c>
      <c r="AH1273" s="53" t="s">
        <v>1591</v>
      </c>
      <c r="AI1273" s="53" t="s">
        <v>2686</v>
      </c>
      <c r="AJ1273" s="53" t="s">
        <v>1591</v>
      </c>
    </row>
    <row r="1274" spans="1:36" s="3" customFormat="1" ht="36" x14ac:dyDescent="0.25">
      <c r="A1274" s="17" t="s">
        <v>1817</v>
      </c>
      <c r="B1274" s="18" t="s">
        <v>37</v>
      </c>
      <c r="C1274" s="76" t="s">
        <v>6334</v>
      </c>
      <c r="D1274" s="45" t="s">
        <v>6335</v>
      </c>
      <c r="E1274" s="78" t="s">
        <v>6325</v>
      </c>
      <c r="F1274" s="79" t="s">
        <v>6336</v>
      </c>
      <c r="G1274" s="80">
        <v>0</v>
      </c>
      <c r="H1274" s="80" t="s">
        <v>200</v>
      </c>
      <c r="I1274" s="78" t="s">
        <v>153</v>
      </c>
      <c r="J1274" s="79" t="s">
        <v>848</v>
      </c>
      <c r="K1274" s="81" t="s">
        <v>1165</v>
      </c>
      <c r="L1274" s="82">
        <v>41961</v>
      </c>
      <c r="M1274" s="83">
        <v>42321</v>
      </c>
      <c r="N1274" s="80">
        <v>100881.76</v>
      </c>
      <c r="O1274" s="82"/>
      <c r="P1274" s="84"/>
      <c r="Q1274" s="80">
        <v>0</v>
      </c>
      <c r="R1274" s="80">
        <v>100881.76</v>
      </c>
      <c r="S1274" s="80"/>
      <c r="T1274" s="81" t="s">
        <v>132</v>
      </c>
      <c r="U1274" s="80"/>
      <c r="V1274" s="80"/>
      <c r="W1274" s="80"/>
      <c r="X1274" s="80"/>
      <c r="Y1274" s="76" t="s">
        <v>849</v>
      </c>
      <c r="Z1274" s="19" t="s">
        <v>7038</v>
      </c>
      <c r="AA1274" s="28" t="s">
        <v>8332</v>
      </c>
      <c r="AB1274" s="56">
        <v>43416</v>
      </c>
      <c r="AC1274" s="28" t="s">
        <v>8333</v>
      </c>
      <c r="AD1274" s="28" t="s">
        <v>8334</v>
      </c>
      <c r="AE1274" s="54"/>
      <c r="AF1274" s="54"/>
      <c r="AG1274" s="54" t="s">
        <v>8340</v>
      </c>
      <c r="AH1274" s="53" t="s">
        <v>1591</v>
      </c>
      <c r="AI1274" s="53" t="s">
        <v>2686</v>
      </c>
      <c r="AJ1274" s="53" t="s">
        <v>1591</v>
      </c>
    </row>
    <row r="1275" spans="1:36" s="3" customFormat="1" ht="36" x14ac:dyDescent="0.25">
      <c r="A1275" s="35" t="s">
        <v>2794</v>
      </c>
      <c r="B1275" s="18" t="s">
        <v>37</v>
      </c>
      <c r="C1275" s="76" t="s">
        <v>5810</v>
      </c>
      <c r="D1275" s="43" t="s">
        <v>6337</v>
      </c>
      <c r="E1275" s="78"/>
      <c r="F1275" s="36"/>
      <c r="G1275" s="80"/>
      <c r="H1275" s="80"/>
      <c r="I1275" s="36" t="s">
        <v>1164</v>
      </c>
      <c r="J1275" s="34" t="s">
        <v>6338</v>
      </c>
      <c r="K1275" s="37" t="s">
        <v>1162</v>
      </c>
      <c r="L1275" s="38">
        <v>41640</v>
      </c>
      <c r="M1275" s="39">
        <v>41760</v>
      </c>
      <c r="N1275" s="42">
        <v>88804.5</v>
      </c>
      <c r="O1275" s="85" t="s">
        <v>46</v>
      </c>
      <c r="P1275" s="86"/>
      <c r="Q1275" s="41"/>
      <c r="R1275" s="41">
        <v>88804.5</v>
      </c>
      <c r="S1275" s="80"/>
      <c r="T1275" s="81"/>
      <c r="U1275" s="80"/>
      <c r="V1275" s="80"/>
      <c r="W1275" s="42"/>
      <c r="X1275" s="42"/>
      <c r="Y1275" s="34" t="s">
        <v>4321</v>
      </c>
      <c r="Z1275" s="19" t="s">
        <v>7038</v>
      </c>
      <c r="AA1275" s="28" t="s">
        <v>8332</v>
      </c>
      <c r="AB1275" s="56">
        <v>43416</v>
      </c>
      <c r="AC1275" s="28" t="s">
        <v>8333</v>
      </c>
      <c r="AD1275" s="28" t="s">
        <v>8334</v>
      </c>
      <c r="AE1275" s="54"/>
      <c r="AF1275" s="54"/>
      <c r="AG1275" s="54" t="s">
        <v>8338</v>
      </c>
      <c r="AH1275" s="53" t="s">
        <v>1591</v>
      </c>
      <c r="AI1275" s="53" t="s">
        <v>2686</v>
      </c>
      <c r="AJ1275" s="53" t="s">
        <v>1591</v>
      </c>
    </row>
    <row r="1276" spans="1:36" s="3" customFormat="1" ht="36" x14ac:dyDescent="0.25">
      <c r="A1276" s="17" t="s">
        <v>1817</v>
      </c>
      <c r="B1276" s="18" t="s">
        <v>37</v>
      </c>
      <c r="C1276" s="76" t="s">
        <v>6339</v>
      </c>
      <c r="D1276" s="45" t="s">
        <v>6340</v>
      </c>
      <c r="E1276" s="78" t="s">
        <v>6325</v>
      </c>
      <c r="F1276" s="79" t="s">
        <v>6341</v>
      </c>
      <c r="G1276" s="80"/>
      <c r="H1276" s="80"/>
      <c r="I1276" s="78" t="s">
        <v>494</v>
      </c>
      <c r="J1276" s="79" t="s">
        <v>6328</v>
      </c>
      <c r="K1276" s="81" t="s">
        <v>5089</v>
      </c>
      <c r="L1276" s="82">
        <v>42346</v>
      </c>
      <c r="M1276" s="83">
        <v>42406</v>
      </c>
      <c r="N1276" s="80">
        <v>69133.63</v>
      </c>
      <c r="O1276" s="82"/>
      <c r="P1276" s="84"/>
      <c r="Q1276" s="80">
        <v>0</v>
      </c>
      <c r="R1276" s="80">
        <v>69133.63</v>
      </c>
      <c r="S1276" s="80"/>
      <c r="T1276" s="81" t="s">
        <v>132</v>
      </c>
      <c r="U1276" s="80"/>
      <c r="V1276" s="80"/>
      <c r="W1276" s="80"/>
      <c r="X1276" s="80"/>
      <c r="Y1276" s="76" t="s">
        <v>175</v>
      </c>
      <c r="Z1276" s="19" t="s">
        <v>7038</v>
      </c>
      <c r="AA1276" s="28" t="s">
        <v>8332</v>
      </c>
      <c r="AB1276" s="56">
        <v>43416</v>
      </c>
      <c r="AC1276" s="28" t="s">
        <v>8333</v>
      </c>
      <c r="AD1276" s="28" t="s">
        <v>8334</v>
      </c>
      <c r="AE1276" s="54"/>
      <c r="AF1276" s="54"/>
      <c r="AG1276" s="54" t="s">
        <v>8341</v>
      </c>
      <c r="AH1276" s="53" t="s">
        <v>1591</v>
      </c>
      <c r="AI1276" s="53" t="s">
        <v>2686</v>
      </c>
      <c r="AJ1276" s="53" t="s">
        <v>1591</v>
      </c>
    </row>
    <row r="1277" spans="1:36" s="3" customFormat="1" ht="48" x14ac:dyDescent="0.25">
      <c r="A1277" s="17" t="s">
        <v>1822</v>
      </c>
      <c r="B1277" s="18" t="s">
        <v>37</v>
      </c>
      <c r="C1277" s="76"/>
      <c r="D1277" s="45" t="s">
        <v>6342</v>
      </c>
      <c r="E1277" s="78"/>
      <c r="F1277" s="79"/>
      <c r="G1277" s="80"/>
      <c r="H1277" s="80"/>
      <c r="I1277" s="78" t="s">
        <v>900</v>
      </c>
      <c r="J1277" s="79" t="s">
        <v>6343</v>
      </c>
      <c r="K1277" s="81"/>
      <c r="L1277" s="82"/>
      <c r="M1277" s="83"/>
      <c r="N1277" s="80"/>
      <c r="O1277" s="82"/>
      <c r="P1277" s="84"/>
      <c r="Q1277" s="80">
        <v>0</v>
      </c>
      <c r="R1277" s="80"/>
      <c r="S1277" s="80"/>
      <c r="T1277" s="81" t="s">
        <v>579</v>
      </c>
      <c r="U1277" s="80">
        <v>31249.64</v>
      </c>
      <c r="V1277" s="80"/>
      <c r="W1277" s="80"/>
      <c r="X1277" s="80">
        <v>31249.64</v>
      </c>
      <c r="Y1277" s="76" t="s">
        <v>646</v>
      </c>
      <c r="Z1277" s="19" t="s">
        <v>7038</v>
      </c>
      <c r="AA1277" s="28" t="s">
        <v>8478</v>
      </c>
      <c r="AB1277" s="56">
        <v>43398</v>
      </c>
      <c r="AC1277" s="28" t="s">
        <v>7607</v>
      </c>
      <c r="AD1277" s="54" t="s">
        <v>8516</v>
      </c>
      <c r="AE1277" s="54" t="s">
        <v>8517</v>
      </c>
      <c r="AF1277" s="54"/>
      <c r="AG1277" s="54" t="s">
        <v>8518</v>
      </c>
      <c r="AH1277" s="53"/>
      <c r="AI1277" s="53" t="s">
        <v>1591</v>
      </c>
      <c r="AJ1277" s="53" t="s">
        <v>1591</v>
      </c>
    </row>
    <row r="1278" spans="1:36" s="3" customFormat="1" ht="48" x14ac:dyDescent="0.25">
      <c r="A1278" s="17" t="s">
        <v>1822</v>
      </c>
      <c r="B1278" s="18" t="s">
        <v>37</v>
      </c>
      <c r="C1278" s="76"/>
      <c r="D1278" s="45" t="s">
        <v>6344</v>
      </c>
      <c r="E1278" s="78"/>
      <c r="F1278" s="79"/>
      <c r="G1278" s="80"/>
      <c r="H1278" s="80"/>
      <c r="I1278" s="78" t="s">
        <v>756</v>
      </c>
      <c r="J1278" s="79" t="s">
        <v>6345</v>
      </c>
      <c r="K1278" s="81"/>
      <c r="L1278" s="82"/>
      <c r="M1278" s="83"/>
      <c r="N1278" s="80"/>
      <c r="O1278" s="82"/>
      <c r="P1278" s="84"/>
      <c r="Q1278" s="80">
        <v>0</v>
      </c>
      <c r="R1278" s="80"/>
      <c r="S1278" s="80"/>
      <c r="T1278" s="81" t="s">
        <v>579</v>
      </c>
      <c r="U1278" s="80">
        <v>111730.16</v>
      </c>
      <c r="V1278" s="80"/>
      <c r="W1278" s="80"/>
      <c r="X1278" s="80">
        <v>111730.16</v>
      </c>
      <c r="Y1278" s="76" t="s">
        <v>33</v>
      </c>
      <c r="Z1278" s="19" t="s">
        <v>7038</v>
      </c>
      <c r="AA1278" s="28" t="s">
        <v>8478</v>
      </c>
      <c r="AB1278" s="56">
        <v>43398</v>
      </c>
      <c r="AC1278" s="28" t="s">
        <v>7607</v>
      </c>
      <c r="AD1278" s="54" t="s">
        <v>8516</v>
      </c>
      <c r="AE1278" s="54" t="s">
        <v>8517</v>
      </c>
      <c r="AF1278" s="54"/>
      <c r="AG1278" s="54" t="s">
        <v>8518</v>
      </c>
      <c r="AH1278" s="53"/>
      <c r="AI1278" s="53" t="s">
        <v>1591</v>
      </c>
      <c r="AJ1278" s="53" t="s">
        <v>1591</v>
      </c>
    </row>
    <row r="1279" spans="1:36" s="3" customFormat="1" ht="48" x14ac:dyDescent="0.25">
      <c r="A1279" s="17" t="s">
        <v>1822</v>
      </c>
      <c r="B1279" s="18" t="s">
        <v>37</v>
      </c>
      <c r="C1279" s="76"/>
      <c r="D1279" s="45" t="s">
        <v>6346</v>
      </c>
      <c r="E1279" s="78"/>
      <c r="F1279" s="79"/>
      <c r="G1279" s="80"/>
      <c r="H1279" s="80"/>
      <c r="I1279" s="78" t="s">
        <v>228</v>
      </c>
      <c r="J1279" s="79" t="s">
        <v>6347</v>
      </c>
      <c r="K1279" s="81"/>
      <c r="L1279" s="82"/>
      <c r="M1279" s="83"/>
      <c r="N1279" s="80"/>
      <c r="O1279" s="82"/>
      <c r="P1279" s="84"/>
      <c r="Q1279" s="80">
        <v>0</v>
      </c>
      <c r="R1279" s="80"/>
      <c r="S1279" s="80"/>
      <c r="T1279" s="81" t="s">
        <v>579</v>
      </c>
      <c r="U1279" s="80">
        <v>38677.050000000003</v>
      </c>
      <c r="V1279" s="80"/>
      <c r="W1279" s="80"/>
      <c r="X1279" s="80">
        <v>38677.050000000003</v>
      </c>
      <c r="Y1279" s="76" t="s">
        <v>646</v>
      </c>
      <c r="Z1279" s="19" t="s">
        <v>7038</v>
      </c>
      <c r="AA1279" s="28" t="s">
        <v>8478</v>
      </c>
      <c r="AB1279" s="56">
        <v>43398</v>
      </c>
      <c r="AC1279" s="28" t="s">
        <v>7607</v>
      </c>
      <c r="AD1279" s="54" t="s">
        <v>8516</v>
      </c>
      <c r="AE1279" s="54" t="s">
        <v>8517</v>
      </c>
      <c r="AF1279" s="54"/>
      <c r="AG1279" s="54" t="s">
        <v>8518</v>
      </c>
      <c r="AH1279" s="53"/>
      <c r="AI1279" s="53" t="s">
        <v>1591</v>
      </c>
      <c r="AJ1279" s="53" t="s">
        <v>1591</v>
      </c>
    </row>
    <row r="1280" spans="1:36" s="3" customFormat="1" ht="48" x14ac:dyDescent="0.25">
      <c r="A1280" s="17" t="s">
        <v>1822</v>
      </c>
      <c r="B1280" s="18" t="s">
        <v>37</v>
      </c>
      <c r="C1280" s="76"/>
      <c r="D1280" s="45" t="s">
        <v>6346</v>
      </c>
      <c r="E1280" s="78"/>
      <c r="F1280" s="79"/>
      <c r="G1280" s="80"/>
      <c r="H1280" s="80"/>
      <c r="I1280" s="78" t="s">
        <v>228</v>
      </c>
      <c r="J1280" s="79" t="s">
        <v>4985</v>
      </c>
      <c r="K1280" s="81"/>
      <c r="L1280" s="82"/>
      <c r="M1280" s="83"/>
      <c r="N1280" s="80"/>
      <c r="O1280" s="82"/>
      <c r="P1280" s="84"/>
      <c r="Q1280" s="80">
        <v>0</v>
      </c>
      <c r="R1280" s="80"/>
      <c r="S1280" s="80"/>
      <c r="T1280" s="81" t="s">
        <v>579</v>
      </c>
      <c r="U1280" s="80">
        <v>25252.400000000001</v>
      </c>
      <c r="V1280" s="80"/>
      <c r="W1280" s="80"/>
      <c r="X1280" s="80">
        <v>25252.400000000001</v>
      </c>
      <c r="Y1280" s="76" t="s">
        <v>646</v>
      </c>
      <c r="Z1280" s="19" t="s">
        <v>7038</v>
      </c>
      <c r="AA1280" s="28" t="s">
        <v>8478</v>
      </c>
      <c r="AB1280" s="56">
        <v>43398</v>
      </c>
      <c r="AC1280" s="28" t="s">
        <v>7607</v>
      </c>
      <c r="AD1280" s="54" t="s">
        <v>8516</v>
      </c>
      <c r="AE1280" s="54" t="s">
        <v>8517</v>
      </c>
      <c r="AF1280" s="54"/>
      <c r="AG1280" s="54" t="s">
        <v>8518</v>
      </c>
      <c r="AH1280" s="53"/>
      <c r="AI1280" s="53" t="s">
        <v>1591</v>
      </c>
      <c r="AJ1280" s="53" t="s">
        <v>1591</v>
      </c>
    </row>
    <row r="1281" spans="1:36" s="3" customFormat="1" ht="48" x14ac:dyDescent="0.25">
      <c r="A1281" s="17" t="s">
        <v>1822</v>
      </c>
      <c r="B1281" s="18" t="s">
        <v>37</v>
      </c>
      <c r="C1281" s="76"/>
      <c r="D1281" s="45" t="s">
        <v>6346</v>
      </c>
      <c r="E1281" s="78"/>
      <c r="F1281" s="79"/>
      <c r="G1281" s="80"/>
      <c r="H1281" s="80"/>
      <c r="I1281" s="78" t="s">
        <v>228</v>
      </c>
      <c r="J1281" s="79" t="s">
        <v>4985</v>
      </c>
      <c r="K1281" s="81"/>
      <c r="L1281" s="82"/>
      <c r="M1281" s="83"/>
      <c r="N1281" s="80"/>
      <c r="O1281" s="82"/>
      <c r="P1281" s="84"/>
      <c r="Q1281" s="80">
        <v>0</v>
      </c>
      <c r="R1281" s="80"/>
      <c r="S1281" s="80"/>
      <c r="T1281" s="81" t="s">
        <v>579</v>
      </c>
      <c r="U1281" s="80">
        <v>81023.5</v>
      </c>
      <c r="V1281" s="80"/>
      <c r="W1281" s="80"/>
      <c r="X1281" s="80">
        <v>81023.5</v>
      </c>
      <c r="Y1281" s="76" t="s">
        <v>646</v>
      </c>
      <c r="Z1281" s="19" t="s">
        <v>7038</v>
      </c>
      <c r="AA1281" s="28" t="s">
        <v>8478</v>
      </c>
      <c r="AB1281" s="56">
        <v>43398</v>
      </c>
      <c r="AC1281" s="28" t="s">
        <v>7607</v>
      </c>
      <c r="AD1281" s="54" t="s">
        <v>8516</v>
      </c>
      <c r="AE1281" s="54" t="s">
        <v>8517</v>
      </c>
      <c r="AF1281" s="54"/>
      <c r="AG1281" s="54" t="s">
        <v>8518</v>
      </c>
      <c r="AH1281" s="53"/>
      <c r="AI1281" s="53" t="s">
        <v>1591</v>
      </c>
      <c r="AJ1281" s="53" t="s">
        <v>1591</v>
      </c>
    </row>
    <row r="1282" spans="1:36" s="3" customFormat="1" ht="48" x14ac:dyDescent="0.25">
      <c r="A1282" s="17" t="s">
        <v>1822</v>
      </c>
      <c r="B1282" s="18" t="s">
        <v>37</v>
      </c>
      <c r="C1282" s="76"/>
      <c r="D1282" s="45" t="s">
        <v>6348</v>
      </c>
      <c r="E1282" s="78"/>
      <c r="F1282" s="79"/>
      <c r="G1282" s="80"/>
      <c r="H1282" s="80"/>
      <c r="I1282" s="78" t="s">
        <v>900</v>
      </c>
      <c r="J1282" s="79" t="s">
        <v>6343</v>
      </c>
      <c r="K1282" s="81"/>
      <c r="L1282" s="82"/>
      <c r="M1282" s="83"/>
      <c r="N1282" s="80"/>
      <c r="O1282" s="82"/>
      <c r="P1282" s="84"/>
      <c r="Q1282" s="80">
        <v>0</v>
      </c>
      <c r="R1282" s="80"/>
      <c r="S1282" s="80"/>
      <c r="T1282" s="81" t="s">
        <v>579</v>
      </c>
      <c r="U1282" s="80">
        <v>13149.8</v>
      </c>
      <c r="V1282" s="80"/>
      <c r="W1282" s="80"/>
      <c r="X1282" s="80">
        <v>13149.8</v>
      </c>
      <c r="Y1282" s="76" t="s">
        <v>646</v>
      </c>
      <c r="Z1282" s="19" t="s">
        <v>7038</v>
      </c>
      <c r="AA1282" s="28" t="s">
        <v>8478</v>
      </c>
      <c r="AB1282" s="56">
        <v>43398</v>
      </c>
      <c r="AC1282" s="28" t="s">
        <v>7607</v>
      </c>
      <c r="AD1282" s="54" t="s">
        <v>8516</v>
      </c>
      <c r="AE1282" s="54" t="s">
        <v>8517</v>
      </c>
      <c r="AF1282" s="54"/>
      <c r="AG1282" s="54" t="s">
        <v>8518</v>
      </c>
      <c r="AH1282" s="53"/>
      <c r="AI1282" s="53" t="s">
        <v>1591</v>
      </c>
      <c r="AJ1282" s="53" t="s">
        <v>1591</v>
      </c>
    </row>
    <row r="1283" spans="1:36" s="3" customFormat="1" ht="48" x14ac:dyDescent="0.25">
      <c r="A1283" s="17" t="s">
        <v>1822</v>
      </c>
      <c r="B1283" s="18" t="s">
        <v>37</v>
      </c>
      <c r="C1283" s="76"/>
      <c r="D1283" s="45" t="s">
        <v>6348</v>
      </c>
      <c r="E1283" s="78"/>
      <c r="F1283" s="79"/>
      <c r="G1283" s="80"/>
      <c r="H1283" s="80"/>
      <c r="I1283" s="78" t="s">
        <v>900</v>
      </c>
      <c r="J1283" s="79" t="s">
        <v>6343</v>
      </c>
      <c r="K1283" s="81"/>
      <c r="L1283" s="82"/>
      <c r="M1283" s="83"/>
      <c r="N1283" s="80"/>
      <c r="O1283" s="82"/>
      <c r="P1283" s="84"/>
      <c r="Q1283" s="80">
        <v>0</v>
      </c>
      <c r="R1283" s="80"/>
      <c r="S1283" s="80"/>
      <c r="T1283" s="81" t="s">
        <v>579</v>
      </c>
      <c r="U1283" s="80">
        <v>29220.48</v>
      </c>
      <c r="V1283" s="80"/>
      <c r="W1283" s="80"/>
      <c r="X1283" s="80">
        <v>29220.48</v>
      </c>
      <c r="Y1283" s="76" t="s">
        <v>646</v>
      </c>
      <c r="Z1283" s="19" t="s">
        <v>7038</v>
      </c>
      <c r="AA1283" s="28" t="s">
        <v>8478</v>
      </c>
      <c r="AB1283" s="56">
        <v>43398</v>
      </c>
      <c r="AC1283" s="28" t="s">
        <v>7607</v>
      </c>
      <c r="AD1283" s="54" t="s">
        <v>8516</v>
      </c>
      <c r="AE1283" s="54" t="s">
        <v>8517</v>
      </c>
      <c r="AF1283" s="54"/>
      <c r="AG1283" s="54" t="s">
        <v>8518</v>
      </c>
      <c r="AH1283" s="53"/>
      <c r="AI1283" s="53" t="s">
        <v>1591</v>
      </c>
      <c r="AJ1283" s="53" t="s">
        <v>1591</v>
      </c>
    </row>
    <row r="1284" spans="1:36" s="3" customFormat="1" ht="48" x14ac:dyDescent="0.25">
      <c r="A1284" s="17" t="s">
        <v>1822</v>
      </c>
      <c r="B1284" s="18" t="s">
        <v>37</v>
      </c>
      <c r="C1284" s="76"/>
      <c r="D1284" s="45" t="s">
        <v>6348</v>
      </c>
      <c r="E1284" s="78"/>
      <c r="F1284" s="79"/>
      <c r="G1284" s="80"/>
      <c r="H1284" s="80"/>
      <c r="I1284" s="78" t="s">
        <v>900</v>
      </c>
      <c r="J1284" s="79" t="s">
        <v>6343</v>
      </c>
      <c r="K1284" s="81"/>
      <c r="L1284" s="82"/>
      <c r="M1284" s="83"/>
      <c r="N1284" s="80"/>
      <c r="O1284" s="82"/>
      <c r="P1284" s="84"/>
      <c r="Q1284" s="80">
        <v>0</v>
      </c>
      <c r="R1284" s="80"/>
      <c r="S1284" s="80"/>
      <c r="T1284" s="81" t="s">
        <v>579</v>
      </c>
      <c r="U1284" s="80">
        <v>68107.62</v>
      </c>
      <c r="V1284" s="80"/>
      <c r="W1284" s="80"/>
      <c r="X1284" s="80">
        <v>68107.62</v>
      </c>
      <c r="Y1284" s="76" t="s">
        <v>646</v>
      </c>
      <c r="Z1284" s="19" t="s">
        <v>7038</v>
      </c>
      <c r="AA1284" s="28" t="s">
        <v>8478</v>
      </c>
      <c r="AB1284" s="56">
        <v>43398</v>
      </c>
      <c r="AC1284" s="28" t="s">
        <v>7607</v>
      </c>
      <c r="AD1284" s="54" t="s">
        <v>8516</v>
      </c>
      <c r="AE1284" s="54" t="s">
        <v>8517</v>
      </c>
      <c r="AF1284" s="54"/>
      <c r="AG1284" s="54" t="s">
        <v>8518</v>
      </c>
      <c r="AH1284" s="53"/>
      <c r="AI1284" s="53" t="s">
        <v>1591</v>
      </c>
      <c r="AJ1284" s="53" t="s">
        <v>1591</v>
      </c>
    </row>
    <row r="1285" spans="1:36" s="3" customFormat="1" ht="48" x14ac:dyDescent="0.25">
      <c r="A1285" s="17" t="s">
        <v>1822</v>
      </c>
      <c r="B1285" s="18" t="s">
        <v>37</v>
      </c>
      <c r="C1285" s="76"/>
      <c r="D1285" s="45" t="s">
        <v>6348</v>
      </c>
      <c r="E1285" s="78"/>
      <c r="F1285" s="79"/>
      <c r="G1285" s="80"/>
      <c r="H1285" s="80"/>
      <c r="I1285" s="78" t="s">
        <v>900</v>
      </c>
      <c r="J1285" s="79" t="s">
        <v>6343</v>
      </c>
      <c r="K1285" s="81"/>
      <c r="L1285" s="82"/>
      <c r="M1285" s="83"/>
      <c r="N1285" s="80"/>
      <c r="O1285" s="82"/>
      <c r="P1285" s="84"/>
      <c r="Q1285" s="80">
        <v>0</v>
      </c>
      <c r="R1285" s="80"/>
      <c r="S1285" s="80"/>
      <c r="T1285" s="81" t="s">
        <v>579</v>
      </c>
      <c r="U1285" s="80">
        <v>14962.34</v>
      </c>
      <c r="V1285" s="80"/>
      <c r="W1285" s="80"/>
      <c r="X1285" s="80">
        <v>14962.34</v>
      </c>
      <c r="Y1285" s="76" t="s">
        <v>646</v>
      </c>
      <c r="Z1285" s="19" t="s">
        <v>7038</v>
      </c>
      <c r="AA1285" s="28" t="s">
        <v>8478</v>
      </c>
      <c r="AB1285" s="56">
        <v>43398</v>
      </c>
      <c r="AC1285" s="28" t="s">
        <v>7607</v>
      </c>
      <c r="AD1285" s="54" t="s">
        <v>8516</v>
      </c>
      <c r="AE1285" s="54" t="s">
        <v>8517</v>
      </c>
      <c r="AF1285" s="54"/>
      <c r="AG1285" s="54" t="s">
        <v>8518</v>
      </c>
      <c r="AH1285" s="53"/>
      <c r="AI1285" s="53" t="s">
        <v>1591</v>
      </c>
      <c r="AJ1285" s="53" t="s">
        <v>1591</v>
      </c>
    </row>
    <row r="1286" spans="1:36" s="3" customFormat="1" ht="48" x14ac:dyDescent="0.25">
      <c r="A1286" s="17" t="s">
        <v>1822</v>
      </c>
      <c r="B1286" s="18" t="s">
        <v>37</v>
      </c>
      <c r="C1286" s="76"/>
      <c r="D1286" s="45" t="s">
        <v>6348</v>
      </c>
      <c r="E1286" s="78"/>
      <c r="F1286" s="79"/>
      <c r="G1286" s="80"/>
      <c r="H1286" s="80"/>
      <c r="I1286" s="78" t="s">
        <v>900</v>
      </c>
      <c r="J1286" s="79" t="s">
        <v>6343</v>
      </c>
      <c r="K1286" s="81"/>
      <c r="L1286" s="82"/>
      <c r="M1286" s="83"/>
      <c r="N1286" s="80"/>
      <c r="O1286" s="82"/>
      <c r="P1286" s="84"/>
      <c r="Q1286" s="80">
        <v>0</v>
      </c>
      <c r="R1286" s="80"/>
      <c r="S1286" s="80"/>
      <c r="T1286" s="81" t="s">
        <v>579</v>
      </c>
      <c r="U1286" s="80">
        <v>26502.48</v>
      </c>
      <c r="V1286" s="80"/>
      <c r="W1286" s="80"/>
      <c r="X1286" s="80">
        <v>26502.48</v>
      </c>
      <c r="Y1286" s="76" t="s">
        <v>646</v>
      </c>
      <c r="Z1286" s="19" t="s">
        <v>7038</v>
      </c>
      <c r="AA1286" s="28" t="s">
        <v>8478</v>
      </c>
      <c r="AB1286" s="56">
        <v>43398</v>
      </c>
      <c r="AC1286" s="28" t="s">
        <v>7607</v>
      </c>
      <c r="AD1286" s="54" t="s">
        <v>8516</v>
      </c>
      <c r="AE1286" s="54" t="s">
        <v>8517</v>
      </c>
      <c r="AF1286" s="54"/>
      <c r="AG1286" s="54" t="s">
        <v>8518</v>
      </c>
      <c r="AH1286" s="53"/>
      <c r="AI1286" s="53" t="s">
        <v>1591</v>
      </c>
      <c r="AJ1286" s="53" t="s">
        <v>1591</v>
      </c>
    </row>
    <row r="1287" spans="1:36" s="3" customFormat="1" ht="48" x14ac:dyDescent="0.25">
      <c r="A1287" s="17" t="s">
        <v>1822</v>
      </c>
      <c r="B1287" s="18" t="s">
        <v>37</v>
      </c>
      <c r="C1287" s="76"/>
      <c r="D1287" s="45" t="s">
        <v>6348</v>
      </c>
      <c r="E1287" s="78"/>
      <c r="F1287" s="79"/>
      <c r="G1287" s="80"/>
      <c r="H1287" s="80"/>
      <c r="I1287" s="78" t="s">
        <v>900</v>
      </c>
      <c r="J1287" s="79" t="s">
        <v>6343</v>
      </c>
      <c r="K1287" s="81"/>
      <c r="L1287" s="82"/>
      <c r="M1287" s="83"/>
      <c r="N1287" s="80"/>
      <c r="O1287" s="82"/>
      <c r="P1287" s="84"/>
      <c r="Q1287" s="80">
        <v>0</v>
      </c>
      <c r="R1287" s="80"/>
      <c r="S1287" s="80"/>
      <c r="T1287" s="81" t="s">
        <v>579</v>
      </c>
      <c r="U1287" s="80">
        <v>55358.3</v>
      </c>
      <c r="V1287" s="80"/>
      <c r="W1287" s="80"/>
      <c r="X1287" s="80">
        <v>55358.3</v>
      </c>
      <c r="Y1287" s="76" t="s">
        <v>646</v>
      </c>
      <c r="Z1287" s="19" t="s">
        <v>7038</v>
      </c>
      <c r="AA1287" s="28" t="s">
        <v>8478</v>
      </c>
      <c r="AB1287" s="56">
        <v>43398</v>
      </c>
      <c r="AC1287" s="28" t="s">
        <v>7607</v>
      </c>
      <c r="AD1287" s="54" t="s">
        <v>8516</v>
      </c>
      <c r="AE1287" s="54" t="s">
        <v>8517</v>
      </c>
      <c r="AF1287" s="54"/>
      <c r="AG1287" s="54" t="s">
        <v>8518</v>
      </c>
      <c r="AH1287" s="53"/>
      <c r="AI1287" s="53" t="s">
        <v>1591</v>
      </c>
      <c r="AJ1287" s="53" t="s">
        <v>1591</v>
      </c>
    </row>
    <row r="1288" spans="1:36" s="3" customFormat="1" ht="48" x14ac:dyDescent="0.25">
      <c r="A1288" s="17" t="s">
        <v>1822</v>
      </c>
      <c r="B1288" s="18" t="s">
        <v>37</v>
      </c>
      <c r="C1288" s="76"/>
      <c r="D1288" s="45" t="s">
        <v>6348</v>
      </c>
      <c r="E1288" s="78"/>
      <c r="F1288" s="79"/>
      <c r="G1288" s="80"/>
      <c r="H1288" s="80"/>
      <c r="I1288" s="78" t="s">
        <v>900</v>
      </c>
      <c r="J1288" s="79" t="s">
        <v>6343</v>
      </c>
      <c r="K1288" s="81"/>
      <c r="L1288" s="82"/>
      <c r="M1288" s="83"/>
      <c r="N1288" s="80"/>
      <c r="O1288" s="82"/>
      <c r="P1288" s="84"/>
      <c r="Q1288" s="80">
        <v>0</v>
      </c>
      <c r="R1288" s="80"/>
      <c r="S1288" s="80"/>
      <c r="T1288" s="81" t="s">
        <v>579</v>
      </c>
      <c r="U1288" s="80">
        <v>8600.68</v>
      </c>
      <c r="V1288" s="80"/>
      <c r="W1288" s="80"/>
      <c r="X1288" s="80">
        <v>8600.68</v>
      </c>
      <c r="Y1288" s="76" t="s">
        <v>646</v>
      </c>
      <c r="Z1288" s="19" t="s">
        <v>7038</v>
      </c>
      <c r="AA1288" s="28" t="s">
        <v>8478</v>
      </c>
      <c r="AB1288" s="56">
        <v>43398</v>
      </c>
      <c r="AC1288" s="28" t="s">
        <v>7607</v>
      </c>
      <c r="AD1288" s="54" t="s">
        <v>8516</v>
      </c>
      <c r="AE1288" s="54" t="s">
        <v>8517</v>
      </c>
      <c r="AF1288" s="54"/>
      <c r="AG1288" s="54" t="s">
        <v>8518</v>
      </c>
      <c r="AH1288" s="53"/>
      <c r="AI1288" s="53" t="s">
        <v>1591</v>
      </c>
      <c r="AJ1288" s="53" t="s">
        <v>1591</v>
      </c>
    </row>
    <row r="1289" spans="1:36" s="3" customFormat="1" ht="48" x14ac:dyDescent="0.25">
      <c r="A1289" s="17" t="s">
        <v>1822</v>
      </c>
      <c r="B1289" s="18" t="s">
        <v>37</v>
      </c>
      <c r="C1289" s="76"/>
      <c r="D1289" s="45" t="s">
        <v>6348</v>
      </c>
      <c r="E1289" s="78"/>
      <c r="F1289" s="79"/>
      <c r="G1289" s="80"/>
      <c r="H1289" s="80"/>
      <c r="I1289" s="78" t="s">
        <v>900</v>
      </c>
      <c r="J1289" s="79" t="s">
        <v>6343</v>
      </c>
      <c r="K1289" s="81"/>
      <c r="L1289" s="82"/>
      <c r="M1289" s="83"/>
      <c r="N1289" s="80"/>
      <c r="O1289" s="82"/>
      <c r="P1289" s="84"/>
      <c r="Q1289" s="80">
        <v>0</v>
      </c>
      <c r="R1289" s="80"/>
      <c r="S1289" s="80"/>
      <c r="T1289" s="81" t="s">
        <v>579</v>
      </c>
      <c r="U1289" s="80">
        <v>9986.74</v>
      </c>
      <c r="V1289" s="80"/>
      <c r="W1289" s="80"/>
      <c r="X1289" s="80">
        <v>9986.74</v>
      </c>
      <c r="Y1289" s="76" t="s">
        <v>646</v>
      </c>
      <c r="Z1289" s="19" t="s">
        <v>7038</v>
      </c>
      <c r="AA1289" s="28" t="s">
        <v>8478</v>
      </c>
      <c r="AB1289" s="56">
        <v>43398</v>
      </c>
      <c r="AC1289" s="28" t="s">
        <v>7607</v>
      </c>
      <c r="AD1289" s="54" t="s">
        <v>8516</v>
      </c>
      <c r="AE1289" s="54" t="s">
        <v>8517</v>
      </c>
      <c r="AF1289" s="54"/>
      <c r="AG1289" s="54" t="s">
        <v>8518</v>
      </c>
      <c r="AH1289" s="53"/>
      <c r="AI1289" s="53" t="s">
        <v>1591</v>
      </c>
      <c r="AJ1289" s="53" t="s">
        <v>1591</v>
      </c>
    </row>
    <row r="1290" spans="1:36" s="3" customFormat="1" ht="48" x14ac:dyDescent="0.25">
      <c r="A1290" s="17" t="s">
        <v>1822</v>
      </c>
      <c r="B1290" s="18" t="s">
        <v>37</v>
      </c>
      <c r="C1290" s="76"/>
      <c r="D1290" s="45" t="s">
        <v>6348</v>
      </c>
      <c r="E1290" s="78"/>
      <c r="F1290" s="79"/>
      <c r="G1290" s="80"/>
      <c r="H1290" s="80"/>
      <c r="I1290" s="78" t="s">
        <v>900</v>
      </c>
      <c r="J1290" s="79" t="s">
        <v>6343</v>
      </c>
      <c r="K1290" s="81"/>
      <c r="L1290" s="82"/>
      <c r="M1290" s="83"/>
      <c r="N1290" s="80"/>
      <c r="O1290" s="82"/>
      <c r="P1290" s="84"/>
      <c r="Q1290" s="80">
        <v>0</v>
      </c>
      <c r="R1290" s="80"/>
      <c r="S1290" s="80"/>
      <c r="T1290" s="81" t="s">
        <v>579</v>
      </c>
      <c r="U1290" s="80">
        <v>11372.8</v>
      </c>
      <c r="V1290" s="80"/>
      <c r="W1290" s="80"/>
      <c r="X1290" s="80">
        <v>11372.8</v>
      </c>
      <c r="Y1290" s="76" t="s">
        <v>646</v>
      </c>
      <c r="Z1290" s="19" t="s">
        <v>7038</v>
      </c>
      <c r="AA1290" s="28" t="s">
        <v>8478</v>
      </c>
      <c r="AB1290" s="56">
        <v>43398</v>
      </c>
      <c r="AC1290" s="28" t="s">
        <v>7607</v>
      </c>
      <c r="AD1290" s="54" t="s">
        <v>8516</v>
      </c>
      <c r="AE1290" s="54" t="s">
        <v>8517</v>
      </c>
      <c r="AF1290" s="54"/>
      <c r="AG1290" s="54" t="s">
        <v>8518</v>
      </c>
      <c r="AH1290" s="53"/>
      <c r="AI1290" s="53" t="s">
        <v>1591</v>
      </c>
      <c r="AJ1290" s="53" t="s">
        <v>1591</v>
      </c>
    </row>
    <row r="1291" spans="1:36" s="3" customFormat="1" ht="48" x14ac:dyDescent="0.25">
      <c r="A1291" s="17" t="s">
        <v>1822</v>
      </c>
      <c r="B1291" s="18" t="s">
        <v>37</v>
      </c>
      <c r="C1291" s="76"/>
      <c r="D1291" s="45" t="s">
        <v>6348</v>
      </c>
      <c r="E1291" s="78"/>
      <c r="F1291" s="79"/>
      <c r="G1291" s="80"/>
      <c r="H1291" s="80"/>
      <c r="I1291" s="78" t="s">
        <v>900</v>
      </c>
      <c r="J1291" s="79" t="s">
        <v>6343</v>
      </c>
      <c r="K1291" s="81"/>
      <c r="L1291" s="82"/>
      <c r="M1291" s="83"/>
      <c r="N1291" s="80"/>
      <c r="O1291" s="82"/>
      <c r="P1291" s="84"/>
      <c r="Q1291" s="80">
        <v>0</v>
      </c>
      <c r="R1291" s="80"/>
      <c r="S1291" s="80"/>
      <c r="T1291" s="81" t="s">
        <v>579</v>
      </c>
      <c r="U1291" s="80">
        <v>15886.38</v>
      </c>
      <c r="V1291" s="80"/>
      <c r="W1291" s="80"/>
      <c r="X1291" s="80">
        <v>15886.38</v>
      </c>
      <c r="Y1291" s="76" t="s">
        <v>646</v>
      </c>
      <c r="Z1291" s="19" t="s">
        <v>7038</v>
      </c>
      <c r="AA1291" s="28" t="s">
        <v>8478</v>
      </c>
      <c r="AB1291" s="56">
        <v>43398</v>
      </c>
      <c r="AC1291" s="28" t="s">
        <v>7607</v>
      </c>
      <c r="AD1291" s="54" t="s">
        <v>8516</v>
      </c>
      <c r="AE1291" s="54" t="s">
        <v>8517</v>
      </c>
      <c r="AF1291" s="54"/>
      <c r="AG1291" s="54" t="s">
        <v>8518</v>
      </c>
      <c r="AH1291" s="53"/>
      <c r="AI1291" s="53" t="s">
        <v>1591</v>
      </c>
      <c r="AJ1291" s="53" t="s">
        <v>1591</v>
      </c>
    </row>
    <row r="1292" spans="1:36" s="3" customFormat="1" ht="48" x14ac:dyDescent="0.25">
      <c r="A1292" s="17" t="s">
        <v>1822</v>
      </c>
      <c r="B1292" s="18" t="s">
        <v>37</v>
      </c>
      <c r="C1292" s="76"/>
      <c r="D1292" s="45" t="s">
        <v>6348</v>
      </c>
      <c r="E1292" s="78"/>
      <c r="F1292" s="79"/>
      <c r="G1292" s="80"/>
      <c r="H1292" s="80"/>
      <c r="I1292" s="78" t="s">
        <v>900</v>
      </c>
      <c r="J1292" s="79" t="s">
        <v>6343</v>
      </c>
      <c r="K1292" s="81"/>
      <c r="L1292" s="82"/>
      <c r="M1292" s="83"/>
      <c r="N1292" s="80"/>
      <c r="O1292" s="82"/>
      <c r="P1292" s="84"/>
      <c r="Q1292" s="80">
        <v>0</v>
      </c>
      <c r="R1292" s="80"/>
      <c r="S1292" s="80"/>
      <c r="T1292" s="81" t="s">
        <v>579</v>
      </c>
      <c r="U1292" s="80">
        <v>14891.26</v>
      </c>
      <c r="V1292" s="80"/>
      <c r="W1292" s="80"/>
      <c r="X1292" s="80">
        <v>14891.26</v>
      </c>
      <c r="Y1292" s="76" t="s">
        <v>646</v>
      </c>
      <c r="Z1292" s="19" t="s">
        <v>7038</v>
      </c>
      <c r="AA1292" s="28" t="s">
        <v>8478</v>
      </c>
      <c r="AB1292" s="56">
        <v>43398</v>
      </c>
      <c r="AC1292" s="28" t="s">
        <v>7607</v>
      </c>
      <c r="AD1292" s="54" t="s">
        <v>8516</v>
      </c>
      <c r="AE1292" s="54" t="s">
        <v>8517</v>
      </c>
      <c r="AF1292" s="54"/>
      <c r="AG1292" s="54" t="s">
        <v>8518</v>
      </c>
      <c r="AH1292" s="53"/>
      <c r="AI1292" s="53" t="s">
        <v>1591</v>
      </c>
      <c r="AJ1292" s="53" t="s">
        <v>1591</v>
      </c>
    </row>
    <row r="1293" spans="1:36" s="3" customFormat="1" ht="72" x14ac:dyDescent="0.25">
      <c r="A1293" s="17" t="s">
        <v>2062</v>
      </c>
      <c r="B1293" s="18" t="s">
        <v>37</v>
      </c>
      <c r="C1293" s="76" t="s">
        <v>6533</v>
      </c>
      <c r="D1293" s="45" t="s">
        <v>6534</v>
      </c>
      <c r="E1293" s="78"/>
      <c r="F1293" s="79" t="s">
        <v>2063</v>
      </c>
      <c r="G1293" s="80"/>
      <c r="H1293" s="80"/>
      <c r="I1293" s="78" t="s">
        <v>63</v>
      </c>
      <c r="J1293" s="79" t="s">
        <v>6535</v>
      </c>
      <c r="K1293" s="81" t="s">
        <v>6536</v>
      </c>
      <c r="L1293" s="82">
        <v>41446</v>
      </c>
      <c r="M1293" s="83">
        <v>41566</v>
      </c>
      <c r="N1293" s="80">
        <v>522483.24</v>
      </c>
      <c r="O1293" s="82"/>
      <c r="P1293" s="84"/>
      <c r="Q1293" s="80">
        <v>0</v>
      </c>
      <c r="R1293" s="80">
        <v>522483.24</v>
      </c>
      <c r="S1293" s="80"/>
      <c r="T1293" s="81" t="s">
        <v>907</v>
      </c>
      <c r="U1293" s="80">
        <v>422483.24</v>
      </c>
      <c r="V1293" s="80"/>
      <c r="W1293" s="80"/>
      <c r="X1293" s="80">
        <v>422483.24</v>
      </c>
      <c r="Y1293" s="76" t="s">
        <v>142</v>
      </c>
      <c r="Z1293" s="19" t="s">
        <v>7038</v>
      </c>
      <c r="AA1293" s="28" t="s">
        <v>8476</v>
      </c>
      <c r="AB1293" s="56">
        <v>43425</v>
      </c>
      <c r="AC1293" s="28" t="s">
        <v>8523</v>
      </c>
      <c r="AD1293" s="54" t="s">
        <v>8525</v>
      </c>
      <c r="AE1293" s="54" t="s">
        <v>8519</v>
      </c>
      <c r="AF1293" s="54"/>
      <c r="AG1293" s="54" t="s">
        <v>8520</v>
      </c>
      <c r="AH1293" s="53" t="s">
        <v>1591</v>
      </c>
      <c r="AI1293" s="53" t="s">
        <v>2686</v>
      </c>
      <c r="AJ1293" s="53" t="s">
        <v>1591</v>
      </c>
    </row>
    <row r="1294" spans="1:36" s="3" customFormat="1" ht="36" x14ac:dyDescent="0.25">
      <c r="A1294" s="17" t="s">
        <v>2062</v>
      </c>
      <c r="B1294" s="18" t="s">
        <v>37</v>
      </c>
      <c r="C1294" s="19" t="s">
        <v>4063</v>
      </c>
      <c r="D1294" s="45" t="s">
        <v>2065</v>
      </c>
      <c r="E1294" s="50" t="s">
        <v>2066</v>
      </c>
      <c r="F1294" s="58" t="s">
        <v>686</v>
      </c>
      <c r="G1294" s="51">
        <v>390000</v>
      </c>
      <c r="H1294" s="51">
        <v>10000</v>
      </c>
      <c r="I1294" s="50" t="s">
        <v>2067</v>
      </c>
      <c r="J1294" s="58" t="s">
        <v>2068</v>
      </c>
      <c r="K1294" s="52" t="s">
        <v>39</v>
      </c>
      <c r="L1294" s="59" t="s">
        <v>4215</v>
      </c>
      <c r="M1294" s="60">
        <f>L1294+180</f>
        <v>41217</v>
      </c>
      <c r="N1294" s="51">
        <v>397997.33</v>
      </c>
      <c r="O1294" s="59" t="s">
        <v>3295</v>
      </c>
      <c r="P1294" s="59" t="s">
        <v>39</v>
      </c>
      <c r="Q1294" s="51"/>
      <c r="R1294" s="51">
        <f>N1294+Q1294</f>
        <v>397997.33</v>
      </c>
      <c r="S1294" s="51"/>
      <c r="T1294" s="52" t="s">
        <v>173</v>
      </c>
      <c r="U1294" s="51">
        <v>0</v>
      </c>
      <c r="V1294" s="51">
        <v>0</v>
      </c>
      <c r="W1294" s="51">
        <v>0</v>
      </c>
      <c r="X1294" s="51">
        <v>113017.36</v>
      </c>
      <c r="Y1294" s="19" t="s">
        <v>472</v>
      </c>
      <c r="Z1294" s="19"/>
      <c r="AA1294" s="28" t="s">
        <v>8476</v>
      </c>
      <c r="AB1294" s="56">
        <v>43791</v>
      </c>
      <c r="AC1294" s="28" t="s">
        <v>8524</v>
      </c>
      <c r="AD1294" s="54" t="s">
        <v>8525</v>
      </c>
      <c r="AE1294" s="54"/>
      <c r="AF1294" s="54"/>
      <c r="AG1294" s="54" t="s">
        <v>5144</v>
      </c>
      <c r="AH1294" s="53" t="s">
        <v>1591</v>
      </c>
      <c r="AI1294" s="53" t="s">
        <v>2686</v>
      </c>
      <c r="AJ1294" s="53" t="s">
        <v>1591</v>
      </c>
    </row>
    <row r="1295" spans="1:36" s="3" customFormat="1" ht="72" x14ac:dyDescent="0.25">
      <c r="A1295" s="17" t="s">
        <v>2062</v>
      </c>
      <c r="B1295" s="18" t="s">
        <v>37</v>
      </c>
      <c r="C1295" s="76" t="s">
        <v>6537</v>
      </c>
      <c r="D1295" s="45" t="s">
        <v>6538</v>
      </c>
      <c r="E1295" s="78"/>
      <c r="F1295" s="79"/>
      <c r="G1295" s="80"/>
      <c r="H1295" s="80"/>
      <c r="I1295" s="78" t="s">
        <v>6539</v>
      </c>
      <c r="J1295" s="79" t="s">
        <v>6540</v>
      </c>
      <c r="K1295" s="81" t="s">
        <v>4562</v>
      </c>
      <c r="L1295" s="82">
        <v>41499</v>
      </c>
      <c r="M1295" s="83">
        <v>41619</v>
      </c>
      <c r="N1295" s="80">
        <v>133553.21</v>
      </c>
      <c r="O1295" s="82"/>
      <c r="P1295" s="84" t="s">
        <v>162</v>
      </c>
      <c r="Q1295" s="80">
        <v>0</v>
      </c>
      <c r="R1295" s="80">
        <v>133553.21</v>
      </c>
      <c r="S1295" s="80"/>
      <c r="T1295" s="81" t="s">
        <v>907</v>
      </c>
      <c r="U1295" s="80">
        <v>52662.25</v>
      </c>
      <c r="V1295" s="80"/>
      <c r="W1295" s="80"/>
      <c r="X1295" s="80">
        <v>52662.25</v>
      </c>
      <c r="Y1295" s="76" t="s">
        <v>472</v>
      </c>
      <c r="Z1295" s="19" t="s">
        <v>7038</v>
      </c>
      <c r="AA1295" s="28" t="s">
        <v>8476</v>
      </c>
      <c r="AB1295" s="56">
        <v>43791</v>
      </c>
      <c r="AC1295" s="28" t="s">
        <v>8524</v>
      </c>
      <c r="AD1295" s="54" t="s">
        <v>8525</v>
      </c>
      <c r="AE1295" s="54" t="s">
        <v>8521</v>
      </c>
      <c r="AF1295" s="54"/>
      <c r="AG1295" s="54" t="s">
        <v>8522</v>
      </c>
      <c r="AH1295" s="53" t="s">
        <v>1591</v>
      </c>
      <c r="AI1295" s="53" t="s">
        <v>2686</v>
      </c>
      <c r="AJ1295" s="53" t="s">
        <v>1591</v>
      </c>
    </row>
    <row r="1296" spans="1:36" s="3" customFormat="1" ht="36" x14ac:dyDescent="0.25">
      <c r="A1296" s="17" t="s">
        <v>2070</v>
      </c>
      <c r="B1296" s="18" t="s">
        <v>37</v>
      </c>
      <c r="C1296" s="76" t="s">
        <v>4515</v>
      </c>
      <c r="D1296" s="77" t="s">
        <v>6543</v>
      </c>
      <c r="E1296" s="78"/>
      <c r="F1296" s="79"/>
      <c r="G1296" s="80"/>
      <c r="H1296" s="80"/>
      <c r="I1296" s="78" t="s">
        <v>228</v>
      </c>
      <c r="J1296" s="79" t="s">
        <v>4985</v>
      </c>
      <c r="K1296" s="81"/>
      <c r="L1296" s="82"/>
      <c r="M1296" s="83"/>
      <c r="N1296" s="80"/>
      <c r="O1296" s="82"/>
      <c r="P1296" s="84"/>
      <c r="Q1296" s="80">
        <v>0</v>
      </c>
      <c r="R1296" s="80"/>
      <c r="S1296" s="80"/>
      <c r="T1296" s="81" t="s">
        <v>40</v>
      </c>
      <c r="U1296" s="80">
        <v>3112.67</v>
      </c>
      <c r="V1296" s="80"/>
      <c r="W1296" s="80"/>
      <c r="X1296" s="80">
        <v>3112.67</v>
      </c>
      <c r="Y1296" s="76" t="s">
        <v>142</v>
      </c>
      <c r="Z1296" s="19" t="s">
        <v>7038</v>
      </c>
      <c r="AA1296" s="28"/>
      <c r="AB1296" s="56"/>
      <c r="AC1296" s="28"/>
      <c r="AD1296" s="28"/>
      <c r="AE1296" s="54"/>
      <c r="AF1296" s="54"/>
      <c r="AG1296" s="54"/>
      <c r="AH1296" s="53"/>
      <c r="AI1296" s="53" t="s">
        <v>1591</v>
      </c>
      <c r="AJ1296" s="53" t="s">
        <v>1591</v>
      </c>
    </row>
    <row r="1297" spans="1:36" s="3" customFormat="1" ht="36" x14ac:dyDescent="0.25">
      <c r="A1297" s="17" t="s">
        <v>2070</v>
      </c>
      <c r="B1297" s="18" t="s">
        <v>37</v>
      </c>
      <c r="C1297" s="76" t="s">
        <v>4847</v>
      </c>
      <c r="D1297" s="77" t="s">
        <v>6551</v>
      </c>
      <c r="E1297" s="78"/>
      <c r="F1297" s="79"/>
      <c r="G1297" s="80"/>
      <c r="H1297" s="80"/>
      <c r="I1297" s="78" t="s">
        <v>6549</v>
      </c>
      <c r="J1297" s="79" t="s">
        <v>6550</v>
      </c>
      <c r="K1297" s="81"/>
      <c r="L1297" s="82"/>
      <c r="M1297" s="83"/>
      <c r="N1297" s="80"/>
      <c r="O1297" s="82"/>
      <c r="P1297" s="84"/>
      <c r="Q1297" s="80">
        <v>0</v>
      </c>
      <c r="R1297" s="80"/>
      <c r="S1297" s="80"/>
      <c r="T1297" s="81" t="s">
        <v>40</v>
      </c>
      <c r="U1297" s="80">
        <v>5000</v>
      </c>
      <c r="V1297" s="80"/>
      <c r="W1297" s="80"/>
      <c r="X1297" s="80">
        <v>5000</v>
      </c>
      <c r="Y1297" s="76" t="s">
        <v>844</v>
      </c>
      <c r="Z1297" s="19" t="s">
        <v>7038</v>
      </c>
      <c r="AA1297" s="28"/>
      <c r="AB1297" s="56"/>
      <c r="AC1297" s="28"/>
      <c r="AD1297" s="28"/>
      <c r="AE1297" s="54"/>
      <c r="AF1297" s="54"/>
      <c r="AG1297" s="54"/>
      <c r="AH1297" s="53"/>
      <c r="AI1297" s="53" t="s">
        <v>1591</v>
      </c>
      <c r="AJ1297" s="53" t="s">
        <v>1591</v>
      </c>
    </row>
    <row r="1298" spans="1:36" s="3" customFormat="1" ht="36" x14ac:dyDescent="0.25">
      <c r="A1298" s="17" t="s">
        <v>2070</v>
      </c>
      <c r="B1298" s="18" t="s">
        <v>37</v>
      </c>
      <c r="C1298" s="76" t="s">
        <v>2071</v>
      </c>
      <c r="D1298" s="77" t="s">
        <v>6548</v>
      </c>
      <c r="E1298" s="78"/>
      <c r="F1298" s="79"/>
      <c r="G1298" s="80"/>
      <c r="H1298" s="80"/>
      <c r="I1298" s="78" t="s">
        <v>6549</v>
      </c>
      <c r="J1298" s="79" t="s">
        <v>6550</v>
      </c>
      <c r="K1298" s="81"/>
      <c r="L1298" s="82"/>
      <c r="M1298" s="83"/>
      <c r="N1298" s="80"/>
      <c r="O1298" s="82"/>
      <c r="P1298" s="84"/>
      <c r="Q1298" s="80">
        <v>0</v>
      </c>
      <c r="R1298" s="80"/>
      <c r="S1298" s="80"/>
      <c r="T1298" s="81" t="s">
        <v>40</v>
      </c>
      <c r="U1298" s="80">
        <v>8612</v>
      </c>
      <c r="V1298" s="80"/>
      <c r="W1298" s="80"/>
      <c r="X1298" s="80">
        <v>8612</v>
      </c>
      <c r="Y1298" s="76" t="s">
        <v>844</v>
      </c>
      <c r="Z1298" s="19" t="s">
        <v>7038</v>
      </c>
      <c r="AA1298" s="28"/>
      <c r="AB1298" s="56"/>
      <c r="AC1298" s="28"/>
      <c r="AD1298" s="28"/>
      <c r="AE1298" s="54"/>
      <c r="AF1298" s="54"/>
      <c r="AG1298" s="54"/>
      <c r="AH1298" s="53"/>
      <c r="AI1298" s="53" t="s">
        <v>1591</v>
      </c>
      <c r="AJ1298" s="53" t="s">
        <v>1591</v>
      </c>
    </row>
    <row r="1299" spans="1:36" s="3" customFormat="1" ht="36" x14ac:dyDescent="0.25">
      <c r="A1299" s="17" t="s">
        <v>2070</v>
      </c>
      <c r="B1299" s="18" t="s">
        <v>37</v>
      </c>
      <c r="C1299" s="76" t="s">
        <v>6544</v>
      </c>
      <c r="D1299" s="77" t="s">
        <v>6545</v>
      </c>
      <c r="E1299" s="78"/>
      <c r="F1299" s="79"/>
      <c r="G1299" s="80"/>
      <c r="H1299" s="80"/>
      <c r="I1299" s="78" t="s">
        <v>6546</v>
      </c>
      <c r="J1299" s="79" t="s">
        <v>6547</v>
      </c>
      <c r="K1299" s="81"/>
      <c r="L1299" s="82"/>
      <c r="M1299" s="83"/>
      <c r="N1299" s="80"/>
      <c r="O1299" s="82"/>
      <c r="P1299" s="84"/>
      <c r="Q1299" s="80">
        <v>0</v>
      </c>
      <c r="R1299" s="80"/>
      <c r="S1299" s="80"/>
      <c r="T1299" s="81" t="s">
        <v>45</v>
      </c>
      <c r="U1299" s="80">
        <v>11270</v>
      </c>
      <c r="V1299" s="80"/>
      <c r="W1299" s="80"/>
      <c r="X1299" s="80">
        <v>11270</v>
      </c>
      <c r="Y1299" s="76" t="s">
        <v>142</v>
      </c>
      <c r="Z1299" s="19" t="s">
        <v>7038</v>
      </c>
      <c r="AA1299" s="28"/>
      <c r="AB1299" s="56"/>
      <c r="AC1299" s="28"/>
      <c r="AD1299" s="28"/>
      <c r="AE1299" s="54"/>
      <c r="AF1299" s="54"/>
      <c r="AG1299" s="54"/>
      <c r="AH1299" s="53"/>
      <c r="AI1299" s="53" t="s">
        <v>1591</v>
      </c>
      <c r="AJ1299" s="53" t="s">
        <v>1591</v>
      </c>
    </row>
    <row r="1300" spans="1:36" s="3" customFormat="1" ht="36" x14ac:dyDescent="0.25">
      <c r="A1300" s="17" t="s">
        <v>2070</v>
      </c>
      <c r="B1300" s="18" t="s">
        <v>37</v>
      </c>
      <c r="C1300" s="76" t="s">
        <v>34</v>
      </c>
      <c r="D1300" s="77" t="s">
        <v>6541</v>
      </c>
      <c r="E1300" s="78" t="s">
        <v>2072</v>
      </c>
      <c r="F1300" s="79" t="s">
        <v>66</v>
      </c>
      <c r="G1300" s="80"/>
      <c r="H1300" s="80"/>
      <c r="I1300" s="78" t="s">
        <v>1579</v>
      </c>
      <c r="J1300" s="79" t="s">
        <v>6542</v>
      </c>
      <c r="K1300" s="81"/>
      <c r="L1300" s="82"/>
      <c r="M1300" s="83"/>
      <c r="N1300" s="80"/>
      <c r="O1300" s="82"/>
      <c r="P1300" s="84"/>
      <c r="Q1300" s="80">
        <v>0</v>
      </c>
      <c r="R1300" s="80"/>
      <c r="S1300" s="80"/>
      <c r="T1300" s="81" t="s">
        <v>895</v>
      </c>
      <c r="U1300" s="80">
        <v>19831.95</v>
      </c>
      <c r="V1300" s="80"/>
      <c r="W1300" s="80"/>
      <c r="X1300" s="80">
        <v>19831.95</v>
      </c>
      <c r="Y1300" s="76" t="s">
        <v>1319</v>
      </c>
      <c r="Z1300" s="19" t="s">
        <v>7038</v>
      </c>
      <c r="AA1300" s="28"/>
      <c r="AB1300" s="56"/>
      <c r="AC1300" s="28"/>
      <c r="AD1300" s="28"/>
      <c r="AE1300" s="54"/>
      <c r="AF1300" s="54"/>
      <c r="AG1300" s="54"/>
      <c r="AH1300" s="53"/>
      <c r="AI1300" s="53" t="s">
        <v>1591</v>
      </c>
      <c r="AJ1300" s="53" t="s">
        <v>1591</v>
      </c>
    </row>
    <row r="1301" spans="1:36" s="3" customFormat="1" ht="36" x14ac:dyDescent="0.25">
      <c r="A1301" s="17" t="s">
        <v>2070</v>
      </c>
      <c r="B1301" s="18" t="s">
        <v>37</v>
      </c>
      <c r="C1301" s="76" t="s">
        <v>6552</v>
      </c>
      <c r="D1301" s="77" t="s">
        <v>6553</v>
      </c>
      <c r="E1301" s="78"/>
      <c r="F1301" s="79"/>
      <c r="G1301" s="80"/>
      <c r="H1301" s="80"/>
      <c r="I1301" s="78" t="s">
        <v>6554</v>
      </c>
      <c r="J1301" s="79" t="s">
        <v>6555</v>
      </c>
      <c r="K1301" s="81"/>
      <c r="L1301" s="82"/>
      <c r="M1301" s="83"/>
      <c r="N1301" s="80"/>
      <c r="O1301" s="82"/>
      <c r="P1301" s="84"/>
      <c r="Q1301" s="80">
        <v>0</v>
      </c>
      <c r="R1301" s="80"/>
      <c r="S1301" s="80"/>
      <c r="T1301" s="81" t="s">
        <v>40</v>
      </c>
      <c r="U1301" s="80">
        <v>3380</v>
      </c>
      <c r="V1301" s="80"/>
      <c r="W1301" s="80"/>
      <c r="X1301" s="80">
        <v>3380</v>
      </c>
      <c r="Y1301" s="76" t="s">
        <v>844</v>
      </c>
      <c r="Z1301" s="19" t="s">
        <v>7038</v>
      </c>
      <c r="AA1301" s="28"/>
      <c r="AB1301" s="56"/>
      <c r="AC1301" s="28"/>
      <c r="AD1301" s="28"/>
      <c r="AE1301" s="54"/>
      <c r="AF1301" s="54"/>
      <c r="AG1301" s="54"/>
      <c r="AH1301" s="53"/>
      <c r="AI1301" s="53" t="s">
        <v>1591</v>
      </c>
      <c r="AJ1301" s="53" t="s">
        <v>1591</v>
      </c>
    </row>
    <row r="1302" spans="1:36" s="3" customFormat="1" ht="48" x14ac:dyDescent="0.25">
      <c r="A1302" s="17" t="s">
        <v>2073</v>
      </c>
      <c r="B1302" s="18" t="s">
        <v>37</v>
      </c>
      <c r="C1302" s="19" t="s">
        <v>706</v>
      </c>
      <c r="D1302" s="45" t="s">
        <v>2074</v>
      </c>
      <c r="E1302" s="50"/>
      <c r="F1302" s="58" t="s">
        <v>2075</v>
      </c>
      <c r="G1302" s="51">
        <v>619973.46</v>
      </c>
      <c r="H1302" s="51">
        <v>133612.84</v>
      </c>
      <c r="I1302" s="50" t="s">
        <v>1205</v>
      </c>
      <c r="J1302" s="58" t="s">
        <v>1206</v>
      </c>
      <c r="K1302" s="52" t="s">
        <v>496</v>
      </c>
      <c r="L1302" s="59">
        <v>41442</v>
      </c>
      <c r="M1302" s="60">
        <f>L1302+270</f>
        <v>41712</v>
      </c>
      <c r="N1302" s="51">
        <v>746016.19</v>
      </c>
      <c r="O1302" s="59"/>
      <c r="P1302" s="59">
        <f>L1302+810</f>
        <v>42252</v>
      </c>
      <c r="Q1302" s="51"/>
      <c r="R1302" s="51">
        <f>N1302+Q1302</f>
        <v>746016.19</v>
      </c>
      <c r="S1302" s="51"/>
      <c r="T1302" s="52" t="s">
        <v>2076</v>
      </c>
      <c r="U1302" s="51">
        <v>0</v>
      </c>
      <c r="V1302" s="51">
        <v>0</v>
      </c>
      <c r="W1302" s="51">
        <v>0</v>
      </c>
      <c r="X1302" s="51">
        <v>382702.64</v>
      </c>
      <c r="Y1302" s="19" t="s">
        <v>175</v>
      </c>
      <c r="Z1302" s="19"/>
      <c r="AA1302" s="28"/>
      <c r="AB1302" s="56"/>
      <c r="AC1302" s="28"/>
      <c r="AD1302" s="28"/>
      <c r="AE1302" s="54"/>
      <c r="AF1302" s="54"/>
      <c r="AG1302" s="54"/>
      <c r="AH1302" s="53"/>
      <c r="AI1302" s="53" t="s">
        <v>1591</v>
      </c>
      <c r="AJ1302" s="53" t="s">
        <v>1591</v>
      </c>
    </row>
    <row r="1303" spans="1:36" s="3" customFormat="1" ht="24" x14ac:dyDescent="0.25">
      <c r="A1303" s="17" t="s">
        <v>2079</v>
      </c>
      <c r="B1303" s="18" t="s">
        <v>37</v>
      </c>
      <c r="C1303" s="19" t="s">
        <v>2092</v>
      </c>
      <c r="D1303" s="45" t="s">
        <v>2093</v>
      </c>
      <c r="E1303" s="50" t="s">
        <v>2084</v>
      </c>
      <c r="F1303" s="58" t="s">
        <v>2094</v>
      </c>
      <c r="G1303" s="51">
        <v>1959902.26</v>
      </c>
      <c r="H1303" s="51"/>
      <c r="I1303" s="50" t="s">
        <v>520</v>
      </c>
      <c r="J1303" s="58" t="s">
        <v>2086</v>
      </c>
      <c r="K1303" s="52" t="s">
        <v>2095</v>
      </c>
      <c r="L1303" s="59">
        <v>42529</v>
      </c>
      <c r="M1303" s="60">
        <f>L1303+240</f>
        <v>42769</v>
      </c>
      <c r="N1303" s="51">
        <v>1917619.79</v>
      </c>
      <c r="O1303" s="59">
        <v>42408</v>
      </c>
      <c r="P1303" s="59">
        <f>M1303+480</f>
        <v>43249</v>
      </c>
      <c r="Q1303" s="51">
        <v>140842.26999999999</v>
      </c>
      <c r="R1303" s="51">
        <f>N1303+Q1303</f>
        <v>2058462.06</v>
      </c>
      <c r="S1303" s="51"/>
      <c r="T1303" s="52" t="s">
        <v>2081</v>
      </c>
      <c r="U1303" s="51">
        <v>552988.04</v>
      </c>
      <c r="V1303" s="51">
        <v>6352.24</v>
      </c>
      <c r="W1303" s="51">
        <v>6352.24</v>
      </c>
      <c r="X1303" s="51">
        <v>6352.24</v>
      </c>
      <c r="Y1303" s="19" t="s">
        <v>175</v>
      </c>
      <c r="Z1303" s="19"/>
      <c r="AA1303" s="28"/>
      <c r="AB1303" s="56"/>
      <c r="AC1303" s="28"/>
      <c r="AD1303" s="28"/>
      <c r="AE1303" s="54"/>
      <c r="AF1303" s="54"/>
      <c r="AG1303" s="54"/>
      <c r="AH1303" s="53"/>
      <c r="AI1303" s="53" t="s">
        <v>1591</v>
      </c>
      <c r="AJ1303" s="53" t="s">
        <v>1591</v>
      </c>
    </row>
    <row r="1304" spans="1:36" s="3" customFormat="1" ht="24" x14ac:dyDescent="0.25">
      <c r="A1304" s="17" t="s">
        <v>2079</v>
      </c>
      <c r="B1304" s="18" t="s">
        <v>37</v>
      </c>
      <c r="C1304" s="19" t="s">
        <v>2082</v>
      </c>
      <c r="D1304" s="45" t="s">
        <v>2083</v>
      </c>
      <c r="E1304" s="50" t="s">
        <v>2084</v>
      </c>
      <c r="F1304" s="58" t="s">
        <v>2085</v>
      </c>
      <c r="G1304" s="51">
        <v>1959902.26</v>
      </c>
      <c r="H1304" s="51"/>
      <c r="I1304" s="50" t="s">
        <v>520</v>
      </c>
      <c r="J1304" s="58" t="s">
        <v>2086</v>
      </c>
      <c r="K1304" s="52" t="s">
        <v>2087</v>
      </c>
      <c r="L1304" s="59">
        <v>42536</v>
      </c>
      <c r="M1304" s="60">
        <f>L1304+240</f>
        <v>42776</v>
      </c>
      <c r="N1304" s="51">
        <v>1851586.31</v>
      </c>
      <c r="O1304" s="59">
        <v>42781</v>
      </c>
      <c r="P1304" s="59">
        <f>M1304+480</f>
        <v>43256</v>
      </c>
      <c r="Q1304" s="51">
        <v>100951.67</v>
      </c>
      <c r="R1304" s="51">
        <f>N1304+Q1304</f>
        <v>1952537.98</v>
      </c>
      <c r="S1304" s="51"/>
      <c r="T1304" s="52" t="s">
        <v>2081</v>
      </c>
      <c r="U1304" s="51">
        <v>284938.09000000003</v>
      </c>
      <c r="V1304" s="51">
        <v>11247.73</v>
      </c>
      <c r="W1304" s="51">
        <v>11247.73</v>
      </c>
      <c r="X1304" s="51">
        <v>11247.73</v>
      </c>
      <c r="Y1304" s="19" t="s">
        <v>175</v>
      </c>
      <c r="Z1304" s="19"/>
      <c r="AA1304" s="28"/>
      <c r="AB1304" s="56"/>
      <c r="AC1304" s="28"/>
      <c r="AD1304" s="28"/>
      <c r="AE1304" s="54"/>
      <c r="AF1304" s="54"/>
      <c r="AG1304" s="54"/>
      <c r="AH1304" s="53"/>
      <c r="AI1304" s="53" t="s">
        <v>1591</v>
      </c>
      <c r="AJ1304" s="53" t="s">
        <v>1591</v>
      </c>
    </row>
    <row r="1305" spans="1:36" s="3" customFormat="1" ht="36" x14ac:dyDescent="0.25">
      <c r="A1305" s="17" t="s">
        <v>2079</v>
      </c>
      <c r="B1305" s="18" t="s">
        <v>37</v>
      </c>
      <c r="C1305" s="19" t="s">
        <v>2088</v>
      </c>
      <c r="D1305" s="45" t="s">
        <v>2089</v>
      </c>
      <c r="E1305" s="50" t="s">
        <v>2084</v>
      </c>
      <c r="F1305" s="58" t="s">
        <v>2090</v>
      </c>
      <c r="G1305" s="51" t="s">
        <v>4216</v>
      </c>
      <c r="H1305" s="51"/>
      <c r="I1305" s="50" t="s">
        <v>119</v>
      </c>
      <c r="J1305" s="58" t="s">
        <v>2080</v>
      </c>
      <c r="K1305" s="52" t="s">
        <v>2091</v>
      </c>
      <c r="L1305" s="59">
        <v>42524</v>
      </c>
      <c r="M1305" s="60">
        <f>L1305+240</f>
        <v>42764</v>
      </c>
      <c r="N1305" s="51">
        <v>1224233.83</v>
      </c>
      <c r="O1305" s="59">
        <v>42403</v>
      </c>
      <c r="P1305" s="59">
        <f>M1305+480</f>
        <v>43244</v>
      </c>
      <c r="Q1305" s="51">
        <v>36272.5</v>
      </c>
      <c r="R1305" s="51">
        <f>N1305+Q1305</f>
        <v>1260506.33</v>
      </c>
      <c r="S1305" s="51"/>
      <c r="T1305" s="52" t="s">
        <v>2081</v>
      </c>
      <c r="U1305" s="51">
        <v>360226.23</v>
      </c>
      <c r="V1305" s="51">
        <v>40757.07</v>
      </c>
      <c r="W1305" s="51">
        <v>40757.07</v>
      </c>
      <c r="X1305" s="51">
        <v>40757.07</v>
      </c>
      <c r="Y1305" s="19" t="s">
        <v>175</v>
      </c>
      <c r="Z1305" s="19"/>
      <c r="AA1305" s="28"/>
      <c r="AB1305" s="56"/>
      <c r="AC1305" s="28"/>
      <c r="AD1305" s="28"/>
      <c r="AE1305" s="54"/>
      <c r="AF1305" s="54"/>
      <c r="AG1305" s="54"/>
      <c r="AH1305" s="53"/>
      <c r="AI1305" s="53" t="s">
        <v>1591</v>
      </c>
      <c r="AJ1305" s="53" t="s">
        <v>1591</v>
      </c>
    </row>
    <row r="1306" spans="1:36" s="3" customFormat="1" ht="36" x14ac:dyDescent="0.25">
      <c r="A1306" s="17" t="s">
        <v>2079</v>
      </c>
      <c r="B1306" s="18" t="s">
        <v>37</v>
      </c>
      <c r="C1306" s="76" t="s">
        <v>6557</v>
      </c>
      <c r="D1306" s="45" t="s">
        <v>6558</v>
      </c>
      <c r="E1306" s="78" t="s">
        <v>181</v>
      </c>
      <c r="F1306" s="79" t="s">
        <v>181</v>
      </c>
      <c r="G1306" s="80" t="s">
        <v>1591</v>
      </c>
      <c r="H1306" s="80" t="s">
        <v>1591</v>
      </c>
      <c r="I1306" s="78" t="s">
        <v>1963</v>
      </c>
      <c r="J1306" s="79" t="s">
        <v>6556</v>
      </c>
      <c r="K1306" s="81" t="s">
        <v>6559</v>
      </c>
      <c r="L1306" s="82">
        <v>42508</v>
      </c>
      <c r="M1306" s="83">
        <v>42598</v>
      </c>
      <c r="N1306" s="80"/>
      <c r="O1306" s="82">
        <v>42600</v>
      </c>
      <c r="P1306" s="84"/>
      <c r="Q1306" s="80">
        <v>0</v>
      </c>
      <c r="R1306" s="80">
        <v>0</v>
      </c>
      <c r="S1306" s="80"/>
      <c r="T1306" s="81" t="s">
        <v>6560</v>
      </c>
      <c r="U1306" s="80">
        <v>49260</v>
      </c>
      <c r="V1306" s="80"/>
      <c r="W1306" s="80"/>
      <c r="X1306" s="80">
        <v>49260</v>
      </c>
      <c r="Y1306" s="76" t="s">
        <v>1591</v>
      </c>
      <c r="Z1306" s="19" t="s">
        <v>7038</v>
      </c>
      <c r="AA1306" s="28"/>
      <c r="AB1306" s="56"/>
      <c r="AC1306" s="28"/>
      <c r="AD1306" s="28"/>
      <c r="AE1306" s="54"/>
      <c r="AF1306" s="54"/>
      <c r="AG1306" s="54"/>
      <c r="AH1306" s="53"/>
      <c r="AI1306" s="53" t="s">
        <v>1591</v>
      </c>
      <c r="AJ1306" s="53" t="s">
        <v>1591</v>
      </c>
    </row>
    <row r="1307" spans="1:36" s="3" customFormat="1" ht="48" x14ac:dyDescent="0.25">
      <c r="A1307" s="17" t="s">
        <v>2044</v>
      </c>
      <c r="B1307" s="18" t="s">
        <v>37</v>
      </c>
      <c r="C1307" s="76" t="s">
        <v>5797</v>
      </c>
      <c r="D1307" s="45" t="s">
        <v>6563</v>
      </c>
      <c r="E1307" s="78" t="s">
        <v>6564</v>
      </c>
      <c r="F1307" s="79" t="s">
        <v>5624</v>
      </c>
      <c r="G1307" s="80">
        <v>960647.37</v>
      </c>
      <c r="H1307" s="80"/>
      <c r="I1307" s="78" t="s">
        <v>6561</v>
      </c>
      <c r="J1307" s="79" t="s">
        <v>6562</v>
      </c>
      <c r="K1307" s="81"/>
      <c r="L1307" s="82">
        <v>41953</v>
      </c>
      <c r="M1307" s="83">
        <v>42195</v>
      </c>
      <c r="N1307" s="80">
        <v>951184.01</v>
      </c>
      <c r="O1307" s="82"/>
      <c r="P1307" s="84"/>
      <c r="Q1307" s="80">
        <v>0</v>
      </c>
      <c r="R1307" s="80">
        <v>951184.01</v>
      </c>
      <c r="S1307" s="80"/>
      <c r="T1307" s="81"/>
      <c r="U1307" s="80"/>
      <c r="V1307" s="80"/>
      <c r="W1307" s="80"/>
      <c r="X1307" s="80"/>
      <c r="Y1307" s="76" t="s">
        <v>725</v>
      </c>
      <c r="Z1307" s="19" t="s">
        <v>7038</v>
      </c>
      <c r="AA1307" s="28" t="s">
        <v>8053</v>
      </c>
      <c r="AB1307" s="56">
        <v>43411</v>
      </c>
      <c r="AC1307" s="28" t="s">
        <v>8054</v>
      </c>
      <c r="AD1307" s="28" t="s">
        <v>8055</v>
      </c>
      <c r="AE1307" s="54" t="s">
        <v>8056</v>
      </c>
      <c r="AF1307" s="54"/>
      <c r="AG1307" s="54" t="s">
        <v>8057</v>
      </c>
      <c r="AH1307" s="53" t="s">
        <v>1591</v>
      </c>
      <c r="AI1307" s="53" t="s">
        <v>2686</v>
      </c>
      <c r="AJ1307" s="53" t="s">
        <v>1591</v>
      </c>
    </row>
    <row r="1308" spans="1:36" s="3" customFormat="1" ht="60" x14ac:dyDescent="0.25">
      <c r="A1308" s="17" t="s">
        <v>2044</v>
      </c>
      <c r="B1308" s="18" t="s">
        <v>37</v>
      </c>
      <c r="C1308" s="76" t="s">
        <v>69</v>
      </c>
      <c r="D1308" s="45" t="s">
        <v>6565</v>
      </c>
      <c r="E1308" s="78"/>
      <c r="F1308" s="79" t="s">
        <v>5624</v>
      </c>
      <c r="G1308" s="80"/>
      <c r="H1308" s="80"/>
      <c r="I1308" s="78" t="s">
        <v>6566</v>
      </c>
      <c r="J1308" s="79" t="s">
        <v>6567</v>
      </c>
      <c r="K1308" s="81"/>
      <c r="L1308" s="82">
        <v>41932</v>
      </c>
      <c r="M1308" s="83">
        <v>42175</v>
      </c>
      <c r="N1308" s="80">
        <v>895149.26</v>
      </c>
      <c r="O1308" s="82"/>
      <c r="P1308" s="84"/>
      <c r="Q1308" s="80">
        <v>0</v>
      </c>
      <c r="R1308" s="80">
        <v>895149.26</v>
      </c>
      <c r="S1308" s="80"/>
      <c r="T1308" s="81"/>
      <c r="U1308" s="80"/>
      <c r="V1308" s="80"/>
      <c r="W1308" s="80"/>
      <c r="X1308" s="80"/>
      <c r="Y1308" s="76" t="s">
        <v>212</v>
      </c>
      <c r="Z1308" s="19" t="s">
        <v>7038</v>
      </c>
      <c r="AA1308" s="28" t="s">
        <v>8053</v>
      </c>
      <c r="AB1308" s="56">
        <v>43411</v>
      </c>
      <c r="AC1308" s="28" t="s">
        <v>8054</v>
      </c>
      <c r="AD1308" s="28" t="s">
        <v>8055</v>
      </c>
      <c r="AE1308" s="54" t="s">
        <v>8058</v>
      </c>
      <c r="AF1308" s="54"/>
      <c r="AG1308" s="54" t="s">
        <v>8057</v>
      </c>
      <c r="AH1308" s="53" t="s">
        <v>1591</v>
      </c>
      <c r="AI1308" s="53" t="s">
        <v>2686</v>
      </c>
      <c r="AJ1308" s="53" t="s">
        <v>1591</v>
      </c>
    </row>
    <row r="1309" spans="1:36" s="3" customFormat="1" ht="48" x14ac:dyDescent="0.25">
      <c r="A1309" s="17" t="s">
        <v>2044</v>
      </c>
      <c r="B1309" s="18" t="s">
        <v>37</v>
      </c>
      <c r="C1309" s="76" t="s">
        <v>709</v>
      </c>
      <c r="D1309" s="45" t="s">
        <v>6568</v>
      </c>
      <c r="E1309" s="78"/>
      <c r="F1309" s="79" t="s">
        <v>6569</v>
      </c>
      <c r="G1309" s="80">
        <v>816000</v>
      </c>
      <c r="H1309" s="80"/>
      <c r="I1309" s="78" t="s">
        <v>6566</v>
      </c>
      <c r="J1309" s="79" t="s">
        <v>6567</v>
      </c>
      <c r="K1309" s="81"/>
      <c r="L1309" s="82">
        <v>41704</v>
      </c>
      <c r="M1309" s="83">
        <v>41979</v>
      </c>
      <c r="N1309" s="80">
        <v>807816.04</v>
      </c>
      <c r="O1309" s="82"/>
      <c r="P1309" s="84" t="s">
        <v>6570</v>
      </c>
      <c r="Q1309" s="80">
        <v>0</v>
      </c>
      <c r="R1309" s="80">
        <v>807816.04</v>
      </c>
      <c r="S1309" s="80"/>
      <c r="T1309" s="81"/>
      <c r="U1309" s="80"/>
      <c r="V1309" s="80"/>
      <c r="W1309" s="80"/>
      <c r="X1309" s="80"/>
      <c r="Y1309" s="76" t="s">
        <v>186</v>
      </c>
      <c r="Z1309" s="19" t="s">
        <v>7038</v>
      </c>
      <c r="AA1309" s="28" t="s">
        <v>8053</v>
      </c>
      <c r="AB1309" s="56">
        <v>43411</v>
      </c>
      <c r="AC1309" s="28" t="s">
        <v>8054</v>
      </c>
      <c r="AD1309" s="28" t="s">
        <v>8055</v>
      </c>
      <c r="AE1309" s="54" t="s">
        <v>8059</v>
      </c>
      <c r="AF1309" s="54"/>
      <c r="AG1309" s="54" t="s">
        <v>8057</v>
      </c>
      <c r="AH1309" s="53" t="s">
        <v>1591</v>
      </c>
      <c r="AI1309" s="53" t="s">
        <v>2686</v>
      </c>
      <c r="AJ1309" s="53" t="s">
        <v>1591</v>
      </c>
    </row>
    <row r="1310" spans="1:36" s="3" customFormat="1" ht="48" x14ac:dyDescent="0.25">
      <c r="A1310" s="17" t="s">
        <v>2044</v>
      </c>
      <c r="B1310" s="18" t="s">
        <v>37</v>
      </c>
      <c r="C1310" s="76" t="s">
        <v>1084</v>
      </c>
      <c r="D1310" s="45" t="s">
        <v>6571</v>
      </c>
      <c r="E1310" s="78"/>
      <c r="F1310" s="79" t="s">
        <v>6569</v>
      </c>
      <c r="G1310" s="80"/>
      <c r="H1310" s="80"/>
      <c r="I1310" s="78" t="s">
        <v>6566</v>
      </c>
      <c r="J1310" s="79" t="s">
        <v>6567</v>
      </c>
      <c r="K1310" s="81"/>
      <c r="L1310" s="82">
        <v>42524</v>
      </c>
      <c r="M1310" s="83">
        <v>42889</v>
      </c>
      <c r="N1310" s="80">
        <v>460847.26</v>
      </c>
      <c r="O1310" s="82"/>
      <c r="P1310" s="84"/>
      <c r="Q1310" s="80">
        <v>0</v>
      </c>
      <c r="R1310" s="80">
        <v>460847.26</v>
      </c>
      <c r="S1310" s="80"/>
      <c r="T1310" s="81"/>
      <c r="U1310" s="80"/>
      <c r="V1310" s="80"/>
      <c r="W1310" s="80"/>
      <c r="X1310" s="80"/>
      <c r="Y1310" s="76" t="s">
        <v>575</v>
      </c>
      <c r="Z1310" s="19" t="s">
        <v>7038</v>
      </c>
      <c r="AA1310" s="28" t="s">
        <v>8053</v>
      </c>
      <c r="AB1310" s="56">
        <v>43411</v>
      </c>
      <c r="AC1310" s="28" t="s">
        <v>8054</v>
      </c>
      <c r="AD1310" s="28" t="s">
        <v>8055</v>
      </c>
      <c r="AE1310" s="54" t="s">
        <v>8060</v>
      </c>
      <c r="AF1310" s="54"/>
      <c r="AG1310" s="54" t="s">
        <v>8057</v>
      </c>
      <c r="AH1310" s="53" t="s">
        <v>1591</v>
      </c>
      <c r="AI1310" s="53" t="s">
        <v>2686</v>
      </c>
      <c r="AJ1310" s="53" t="s">
        <v>1591</v>
      </c>
    </row>
    <row r="1311" spans="1:36" s="3" customFormat="1" ht="60" x14ac:dyDescent="0.25">
      <c r="A1311" s="35" t="s">
        <v>2771</v>
      </c>
      <c r="B1311" s="18" t="s">
        <v>37</v>
      </c>
      <c r="C1311" s="76"/>
      <c r="D1311" s="43" t="s">
        <v>6572</v>
      </c>
      <c r="E1311" s="78"/>
      <c r="F1311" s="36"/>
      <c r="G1311" s="80"/>
      <c r="H1311" s="80"/>
      <c r="I1311" s="36" t="s">
        <v>6573</v>
      </c>
      <c r="J1311" s="34" t="s">
        <v>6574</v>
      </c>
      <c r="K1311" s="37" t="s">
        <v>62</v>
      </c>
      <c r="L1311" s="38">
        <v>41782</v>
      </c>
      <c r="M1311" s="39">
        <v>41872</v>
      </c>
      <c r="N1311" s="42">
        <v>14618.48</v>
      </c>
      <c r="O1311" s="85"/>
      <c r="P1311" s="86"/>
      <c r="Q1311" s="41"/>
      <c r="R1311" s="41">
        <v>14618.48</v>
      </c>
      <c r="S1311" s="80"/>
      <c r="T1311" s="81"/>
      <c r="U1311" s="80"/>
      <c r="V1311" s="80"/>
      <c r="W1311" s="42"/>
      <c r="X1311" s="42"/>
      <c r="Y1311" s="34" t="s">
        <v>4321</v>
      </c>
      <c r="Z1311" s="19" t="s">
        <v>7038</v>
      </c>
      <c r="AA1311" s="28" t="s">
        <v>8061</v>
      </c>
      <c r="AB1311" s="56">
        <v>43431</v>
      </c>
      <c r="AC1311" s="28" t="s">
        <v>8062</v>
      </c>
      <c r="AD1311" s="28" t="s">
        <v>8063</v>
      </c>
      <c r="AE1311" s="54" t="s">
        <v>8064</v>
      </c>
      <c r="AF1311" s="54"/>
      <c r="AG1311" s="54" t="s">
        <v>8065</v>
      </c>
      <c r="AH1311" s="53" t="s">
        <v>1591</v>
      </c>
      <c r="AI1311" s="53" t="s">
        <v>2686</v>
      </c>
      <c r="AJ1311" s="53" t="s">
        <v>1591</v>
      </c>
    </row>
    <row r="1312" spans="1:36" s="3" customFormat="1" ht="48" x14ac:dyDescent="0.25">
      <c r="A1312" s="17" t="s">
        <v>2051</v>
      </c>
      <c r="B1312" s="18" t="s">
        <v>37</v>
      </c>
      <c r="C1312" s="76" t="s">
        <v>6575</v>
      </c>
      <c r="D1312" s="45" t="s">
        <v>6576</v>
      </c>
      <c r="E1312" s="78"/>
      <c r="F1312" s="79"/>
      <c r="G1312" s="80"/>
      <c r="H1312" s="80"/>
      <c r="I1312" s="78" t="s">
        <v>1960</v>
      </c>
      <c r="J1312" s="79" t="s">
        <v>6577</v>
      </c>
      <c r="K1312" s="81" t="s">
        <v>5770</v>
      </c>
      <c r="L1312" s="82">
        <v>42353</v>
      </c>
      <c r="M1312" s="83">
        <v>42533</v>
      </c>
      <c r="N1312" s="80">
        <v>2235426.17</v>
      </c>
      <c r="O1312" s="82">
        <v>42536</v>
      </c>
      <c r="P1312" s="84" t="s">
        <v>4455</v>
      </c>
      <c r="Q1312" s="80">
        <v>0</v>
      </c>
      <c r="R1312" s="80">
        <v>2235426.17</v>
      </c>
      <c r="S1312" s="80"/>
      <c r="T1312" s="81" t="s">
        <v>45</v>
      </c>
      <c r="U1312" s="80">
        <v>95108.58</v>
      </c>
      <c r="V1312" s="80"/>
      <c r="W1312" s="80"/>
      <c r="X1312" s="80">
        <v>248675.98</v>
      </c>
      <c r="Y1312" s="76" t="s">
        <v>175</v>
      </c>
      <c r="Z1312" s="19" t="s">
        <v>7038</v>
      </c>
      <c r="AA1312" s="28"/>
      <c r="AB1312" s="56"/>
      <c r="AC1312" s="28"/>
      <c r="AD1312" s="28"/>
      <c r="AE1312" s="54"/>
      <c r="AF1312" s="54"/>
      <c r="AG1312" s="54"/>
      <c r="AH1312" s="53"/>
      <c r="AI1312" s="53" t="s">
        <v>1591</v>
      </c>
      <c r="AJ1312" s="53" t="s">
        <v>1591</v>
      </c>
    </row>
    <row r="1313" spans="1:36" s="3" customFormat="1" ht="48" x14ac:dyDescent="0.25">
      <c r="A1313" s="17" t="s">
        <v>2051</v>
      </c>
      <c r="B1313" s="18" t="s">
        <v>37</v>
      </c>
      <c r="C1313" s="76" t="s">
        <v>6578</v>
      </c>
      <c r="D1313" s="45" t="s">
        <v>6579</v>
      </c>
      <c r="E1313" s="78" t="s">
        <v>6580</v>
      </c>
      <c r="F1313" s="79" t="s">
        <v>70</v>
      </c>
      <c r="G1313" s="80">
        <v>2000000</v>
      </c>
      <c r="H1313" s="80">
        <v>143809.51</v>
      </c>
      <c r="I1313" s="78" t="s">
        <v>573</v>
      </c>
      <c r="J1313" s="79" t="s">
        <v>574</v>
      </c>
      <c r="K1313" s="81" t="s">
        <v>5213</v>
      </c>
      <c r="L1313" s="82">
        <v>41068</v>
      </c>
      <c r="M1313" s="83">
        <v>41188</v>
      </c>
      <c r="N1313" s="80">
        <v>2196420.9300000002</v>
      </c>
      <c r="O1313" s="82">
        <v>41187</v>
      </c>
      <c r="P1313" s="84" t="s">
        <v>4469</v>
      </c>
      <c r="Q1313" s="80">
        <v>-52611.419999999925</v>
      </c>
      <c r="R1313" s="80">
        <v>2143809.5100000002</v>
      </c>
      <c r="S1313" s="80"/>
      <c r="T1313" s="81" t="s">
        <v>45</v>
      </c>
      <c r="U1313" s="80">
        <v>80159.570000000007</v>
      </c>
      <c r="V1313" s="80"/>
      <c r="W1313" s="80"/>
      <c r="X1313" s="80">
        <v>1834779.5</v>
      </c>
      <c r="Y1313" s="76" t="s">
        <v>468</v>
      </c>
      <c r="Z1313" s="19" t="s">
        <v>7038</v>
      </c>
      <c r="AA1313" s="28"/>
      <c r="AB1313" s="56"/>
      <c r="AC1313" s="28"/>
      <c r="AD1313" s="28"/>
      <c r="AE1313" s="54"/>
      <c r="AF1313" s="54"/>
      <c r="AG1313" s="54"/>
      <c r="AH1313" s="53"/>
      <c r="AI1313" s="53" t="s">
        <v>1591</v>
      </c>
      <c r="AJ1313" s="53" t="s">
        <v>1591</v>
      </c>
    </row>
    <row r="1314" spans="1:36" s="3" customFormat="1" ht="48" x14ac:dyDescent="0.25">
      <c r="A1314" s="17" t="s">
        <v>2051</v>
      </c>
      <c r="B1314" s="18" t="s">
        <v>37</v>
      </c>
      <c r="C1314" s="76" t="s">
        <v>6581</v>
      </c>
      <c r="D1314" s="45" t="s">
        <v>6582</v>
      </c>
      <c r="E1314" s="78"/>
      <c r="F1314" s="79"/>
      <c r="G1314" s="80"/>
      <c r="H1314" s="80"/>
      <c r="I1314" s="78" t="s">
        <v>6583</v>
      </c>
      <c r="J1314" s="79" t="s">
        <v>6584</v>
      </c>
      <c r="K1314" s="81" t="s">
        <v>861</v>
      </c>
      <c r="L1314" s="82">
        <v>42543</v>
      </c>
      <c r="M1314" s="83">
        <v>42813</v>
      </c>
      <c r="N1314" s="80">
        <v>1938094.6</v>
      </c>
      <c r="O1314" s="82">
        <v>42816</v>
      </c>
      <c r="P1314" s="84"/>
      <c r="Q1314" s="80">
        <v>0</v>
      </c>
      <c r="R1314" s="80">
        <v>1938094.6</v>
      </c>
      <c r="S1314" s="80"/>
      <c r="T1314" s="81" t="s">
        <v>40</v>
      </c>
      <c r="U1314" s="80">
        <v>24880.2</v>
      </c>
      <c r="V1314" s="80"/>
      <c r="W1314" s="80"/>
      <c r="X1314" s="80">
        <v>24880.2</v>
      </c>
      <c r="Y1314" s="76" t="s">
        <v>175</v>
      </c>
      <c r="Z1314" s="19" t="s">
        <v>7038</v>
      </c>
      <c r="AA1314" s="28"/>
      <c r="AB1314" s="56"/>
      <c r="AC1314" s="28"/>
      <c r="AD1314" s="28"/>
      <c r="AE1314" s="54"/>
      <c r="AF1314" s="54"/>
      <c r="AG1314" s="54"/>
      <c r="AH1314" s="53"/>
      <c r="AI1314" s="53" t="s">
        <v>1591</v>
      </c>
      <c r="AJ1314" s="53" t="s">
        <v>1591</v>
      </c>
    </row>
    <row r="1315" spans="1:36" s="3" customFormat="1" ht="48" x14ac:dyDescent="0.25">
      <c r="A1315" s="17" t="s">
        <v>2051</v>
      </c>
      <c r="B1315" s="18" t="s">
        <v>37</v>
      </c>
      <c r="C1315" s="76" t="s">
        <v>6585</v>
      </c>
      <c r="D1315" s="45" t="s">
        <v>6586</v>
      </c>
      <c r="E1315" s="78"/>
      <c r="F1315" s="79" t="s">
        <v>43</v>
      </c>
      <c r="G1315" s="80"/>
      <c r="H1315" s="80"/>
      <c r="I1315" s="78" t="s">
        <v>6587</v>
      </c>
      <c r="J1315" s="79" t="s">
        <v>6588</v>
      </c>
      <c r="K1315" s="81" t="s">
        <v>861</v>
      </c>
      <c r="L1315" s="82">
        <v>42543</v>
      </c>
      <c r="M1315" s="83">
        <v>42813</v>
      </c>
      <c r="N1315" s="80">
        <v>1929872.03</v>
      </c>
      <c r="O1315" s="82">
        <v>42816</v>
      </c>
      <c r="P1315" s="84"/>
      <c r="Q1315" s="80">
        <v>0</v>
      </c>
      <c r="R1315" s="80">
        <v>1929872.03</v>
      </c>
      <c r="S1315" s="80"/>
      <c r="T1315" s="81" t="s">
        <v>40</v>
      </c>
      <c r="U1315" s="80">
        <v>94202.2</v>
      </c>
      <c r="V1315" s="80"/>
      <c r="W1315" s="80"/>
      <c r="X1315" s="80">
        <v>123740.15</v>
      </c>
      <c r="Y1315" s="76" t="s">
        <v>175</v>
      </c>
      <c r="Z1315" s="19" t="s">
        <v>7038</v>
      </c>
      <c r="AA1315" s="28"/>
      <c r="AB1315" s="56"/>
      <c r="AC1315" s="28"/>
      <c r="AD1315" s="28"/>
      <c r="AE1315" s="54"/>
      <c r="AF1315" s="54"/>
      <c r="AG1315" s="54"/>
      <c r="AH1315" s="53"/>
      <c r="AI1315" s="53" t="s">
        <v>1591</v>
      </c>
      <c r="AJ1315" s="53" t="s">
        <v>1591</v>
      </c>
    </row>
    <row r="1316" spans="1:36" s="3" customFormat="1" ht="48" x14ac:dyDescent="0.25">
      <c r="A1316" s="17" t="s">
        <v>2051</v>
      </c>
      <c r="B1316" s="18" t="s">
        <v>37</v>
      </c>
      <c r="C1316" s="76" t="s">
        <v>6589</v>
      </c>
      <c r="D1316" s="45" t="s">
        <v>6576</v>
      </c>
      <c r="E1316" s="78"/>
      <c r="F1316" s="79" t="s">
        <v>661</v>
      </c>
      <c r="G1316" s="80"/>
      <c r="H1316" s="80"/>
      <c r="I1316" s="78" t="s">
        <v>1960</v>
      </c>
      <c r="J1316" s="79" t="s">
        <v>6577</v>
      </c>
      <c r="K1316" s="81" t="s">
        <v>5770</v>
      </c>
      <c r="L1316" s="82">
        <v>42353</v>
      </c>
      <c r="M1316" s="83">
        <v>42473</v>
      </c>
      <c r="N1316" s="80">
        <v>1433493.84</v>
      </c>
      <c r="O1316" s="82">
        <v>42475</v>
      </c>
      <c r="P1316" s="84" t="s">
        <v>162</v>
      </c>
      <c r="Q1316" s="80">
        <v>0</v>
      </c>
      <c r="R1316" s="80">
        <v>1433493.84</v>
      </c>
      <c r="S1316" s="80"/>
      <c r="T1316" s="81" t="s">
        <v>45</v>
      </c>
      <c r="U1316" s="80">
        <v>45139.83</v>
      </c>
      <c r="V1316" s="80"/>
      <c r="W1316" s="80"/>
      <c r="X1316" s="80">
        <v>1423871.83</v>
      </c>
      <c r="Y1316" s="76" t="s">
        <v>468</v>
      </c>
      <c r="Z1316" s="19" t="s">
        <v>7038</v>
      </c>
      <c r="AA1316" s="28"/>
      <c r="AB1316" s="56"/>
      <c r="AC1316" s="28"/>
      <c r="AD1316" s="28"/>
      <c r="AE1316" s="54"/>
      <c r="AF1316" s="54"/>
      <c r="AG1316" s="54"/>
      <c r="AH1316" s="53"/>
      <c r="AI1316" s="53" t="s">
        <v>1591</v>
      </c>
      <c r="AJ1316" s="53" t="s">
        <v>1591</v>
      </c>
    </row>
    <row r="1317" spans="1:36" s="3" customFormat="1" ht="48" x14ac:dyDescent="0.25">
      <c r="A1317" s="17" t="s">
        <v>2051</v>
      </c>
      <c r="B1317" s="18" t="s">
        <v>37</v>
      </c>
      <c r="C1317" s="76" t="s">
        <v>6590</v>
      </c>
      <c r="D1317" s="45" t="s">
        <v>6591</v>
      </c>
      <c r="E1317" s="78"/>
      <c r="F1317" s="79"/>
      <c r="G1317" s="80"/>
      <c r="H1317" s="80"/>
      <c r="I1317" s="78" t="s">
        <v>1960</v>
      </c>
      <c r="J1317" s="79" t="s">
        <v>6577</v>
      </c>
      <c r="K1317" s="81" t="s">
        <v>927</v>
      </c>
      <c r="L1317" s="82">
        <v>41715</v>
      </c>
      <c r="M1317" s="83">
        <v>41895</v>
      </c>
      <c r="N1317" s="80">
        <v>1103246.01</v>
      </c>
      <c r="O1317" s="82">
        <v>41899</v>
      </c>
      <c r="P1317" s="84"/>
      <c r="Q1317" s="80">
        <v>0</v>
      </c>
      <c r="R1317" s="80">
        <v>1103246.01</v>
      </c>
      <c r="S1317" s="80"/>
      <c r="T1317" s="81" t="s">
        <v>45</v>
      </c>
      <c r="U1317" s="80">
        <v>116455.42</v>
      </c>
      <c r="V1317" s="80"/>
      <c r="W1317" s="80"/>
      <c r="X1317" s="80">
        <v>116455.42</v>
      </c>
      <c r="Y1317" s="76" t="s">
        <v>175</v>
      </c>
      <c r="Z1317" s="19" t="s">
        <v>7038</v>
      </c>
      <c r="AA1317" s="28"/>
      <c r="AB1317" s="56"/>
      <c r="AC1317" s="28"/>
      <c r="AD1317" s="28"/>
      <c r="AE1317" s="54"/>
      <c r="AF1317" s="54"/>
      <c r="AG1317" s="54"/>
      <c r="AH1317" s="53"/>
      <c r="AI1317" s="53" t="s">
        <v>1591</v>
      </c>
      <c r="AJ1317" s="53" t="s">
        <v>1591</v>
      </c>
    </row>
    <row r="1318" spans="1:36" s="3" customFormat="1" ht="48" x14ac:dyDescent="0.25">
      <c r="A1318" s="17" t="s">
        <v>2051</v>
      </c>
      <c r="B1318" s="18" t="s">
        <v>37</v>
      </c>
      <c r="C1318" s="76" t="s">
        <v>6592</v>
      </c>
      <c r="D1318" s="45" t="s">
        <v>6593</v>
      </c>
      <c r="E1318" s="78"/>
      <c r="F1318" s="79"/>
      <c r="G1318" s="80"/>
      <c r="H1318" s="80"/>
      <c r="I1318" s="78" t="s">
        <v>977</v>
      </c>
      <c r="J1318" s="79" t="s">
        <v>2052</v>
      </c>
      <c r="K1318" s="81" t="s">
        <v>242</v>
      </c>
      <c r="L1318" s="82">
        <v>42508</v>
      </c>
      <c r="M1318" s="83">
        <v>42873</v>
      </c>
      <c r="N1318" s="80">
        <v>995823.9</v>
      </c>
      <c r="O1318" s="82">
        <v>42873</v>
      </c>
      <c r="P1318" s="84"/>
      <c r="Q1318" s="80">
        <v>0</v>
      </c>
      <c r="R1318" s="80">
        <v>995823.9</v>
      </c>
      <c r="S1318" s="80"/>
      <c r="T1318" s="81" t="s">
        <v>40</v>
      </c>
      <c r="U1318" s="80">
        <v>15942.38</v>
      </c>
      <c r="V1318" s="80"/>
      <c r="W1318" s="80"/>
      <c r="X1318" s="80">
        <v>44215.73</v>
      </c>
      <c r="Y1318" s="76" t="s">
        <v>175</v>
      </c>
      <c r="Z1318" s="19" t="s">
        <v>7038</v>
      </c>
      <c r="AA1318" s="28"/>
      <c r="AB1318" s="56"/>
      <c r="AC1318" s="28"/>
      <c r="AD1318" s="28"/>
      <c r="AE1318" s="54"/>
      <c r="AF1318" s="54"/>
      <c r="AG1318" s="54"/>
      <c r="AH1318" s="53"/>
      <c r="AI1318" s="53" t="s">
        <v>1591</v>
      </c>
      <c r="AJ1318" s="53" t="s">
        <v>1591</v>
      </c>
    </row>
    <row r="1319" spans="1:36" s="3" customFormat="1" ht="36" x14ac:dyDescent="0.25">
      <c r="A1319" s="17" t="s">
        <v>2051</v>
      </c>
      <c r="B1319" s="18" t="s">
        <v>37</v>
      </c>
      <c r="C1319" s="76" t="s">
        <v>6594</v>
      </c>
      <c r="D1319" s="45" t="s">
        <v>6595</v>
      </c>
      <c r="E1319" s="78"/>
      <c r="F1319" s="79"/>
      <c r="G1319" s="80"/>
      <c r="H1319" s="80"/>
      <c r="I1319" s="78" t="s">
        <v>6596</v>
      </c>
      <c r="J1319" s="79" t="s">
        <v>6597</v>
      </c>
      <c r="K1319" s="81" t="s">
        <v>854</v>
      </c>
      <c r="L1319" s="82">
        <v>42495</v>
      </c>
      <c r="M1319" s="83">
        <v>42705</v>
      </c>
      <c r="N1319" s="80">
        <v>256100</v>
      </c>
      <c r="O1319" s="82">
        <v>42735</v>
      </c>
      <c r="P1319" s="84"/>
      <c r="Q1319" s="80">
        <v>0</v>
      </c>
      <c r="R1319" s="80">
        <v>256100</v>
      </c>
      <c r="S1319" s="80"/>
      <c r="T1319" s="81" t="s">
        <v>1939</v>
      </c>
      <c r="U1319" s="80">
        <v>2033</v>
      </c>
      <c r="V1319" s="80"/>
      <c r="W1319" s="80"/>
      <c r="X1319" s="80">
        <v>19723</v>
      </c>
      <c r="Y1319" s="76" t="s">
        <v>175</v>
      </c>
      <c r="Z1319" s="19" t="s">
        <v>7038</v>
      </c>
      <c r="AA1319" s="28"/>
      <c r="AB1319" s="56"/>
      <c r="AC1319" s="28"/>
      <c r="AD1319" s="28"/>
      <c r="AE1319" s="54"/>
      <c r="AF1319" s="54"/>
      <c r="AG1319" s="54"/>
      <c r="AH1319" s="53"/>
      <c r="AI1319" s="53" t="s">
        <v>1591</v>
      </c>
      <c r="AJ1319" s="53" t="s">
        <v>1591</v>
      </c>
    </row>
    <row r="1320" spans="1:36" s="3" customFormat="1" ht="36" x14ac:dyDescent="0.25">
      <c r="A1320" s="17" t="s">
        <v>2051</v>
      </c>
      <c r="B1320" s="18" t="s">
        <v>37</v>
      </c>
      <c r="C1320" s="76" t="s">
        <v>6598</v>
      </c>
      <c r="D1320" s="45" t="s">
        <v>6599</v>
      </c>
      <c r="E1320" s="78"/>
      <c r="F1320" s="79"/>
      <c r="G1320" s="80"/>
      <c r="H1320" s="80"/>
      <c r="I1320" s="78" t="s">
        <v>6600</v>
      </c>
      <c r="J1320" s="79" t="s">
        <v>6601</v>
      </c>
      <c r="K1320" s="81" t="s">
        <v>6602</v>
      </c>
      <c r="L1320" s="82">
        <v>42335</v>
      </c>
      <c r="M1320" s="83">
        <v>42700</v>
      </c>
      <c r="N1320" s="80">
        <v>219440.8</v>
      </c>
      <c r="O1320" s="82">
        <v>42701</v>
      </c>
      <c r="P1320" s="84"/>
      <c r="Q1320" s="80">
        <v>0</v>
      </c>
      <c r="R1320" s="80">
        <v>219440.8</v>
      </c>
      <c r="S1320" s="80"/>
      <c r="T1320" s="81" t="s">
        <v>1939</v>
      </c>
      <c r="U1320" s="80">
        <v>31000</v>
      </c>
      <c r="V1320" s="80"/>
      <c r="W1320" s="80"/>
      <c r="X1320" s="80">
        <v>31000</v>
      </c>
      <c r="Y1320" s="76" t="s">
        <v>175</v>
      </c>
      <c r="Z1320" s="19" t="s">
        <v>7038</v>
      </c>
      <c r="AA1320" s="28"/>
      <c r="AB1320" s="56"/>
      <c r="AC1320" s="28"/>
      <c r="AD1320" s="28"/>
      <c r="AE1320" s="54"/>
      <c r="AF1320" s="54"/>
      <c r="AG1320" s="54"/>
      <c r="AH1320" s="53"/>
      <c r="AI1320" s="53" t="s">
        <v>1591</v>
      </c>
      <c r="AJ1320" s="53" t="s">
        <v>1591</v>
      </c>
    </row>
    <row r="1321" spans="1:36" s="3" customFormat="1" ht="36" x14ac:dyDescent="0.25">
      <c r="A1321" s="17" t="s">
        <v>2051</v>
      </c>
      <c r="B1321" s="18" t="s">
        <v>37</v>
      </c>
      <c r="C1321" s="76" t="s">
        <v>6594</v>
      </c>
      <c r="D1321" s="45" t="s">
        <v>6595</v>
      </c>
      <c r="E1321" s="78"/>
      <c r="F1321" s="79"/>
      <c r="G1321" s="80"/>
      <c r="H1321" s="80"/>
      <c r="I1321" s="78" t="s">
        <v>4650</v>
      </c>
      <c r="J1321" s="79" t="s">
        <v>6603</v>
      </c>
      <c r="K1321" s="81" t="s">
        <v>507</v>
      </c>
      <c r="L1321" s="82">
        <v>42495</v>
      </c>
      <c r="M1321" s="83">
        <v>42705</v>
      </c>
      <c r="N1321" s="80">
        <v>173500</v>
      </c>
      <c r="O1321" s="82">
        <v>42735</v>
      </c>
      <c r="P1321" s="84"/>
      <c r="Q1321" s="80">
        <v>0</v>
      </c>
      <c r="R1321" s="80">
        <v>173500</v>
      </c>
      <c r="S1321" s="80"/>
      <c r="T1321" s="81" t="s">
        <v>1939</v>
      </c>
      <c r="U1321" s="80">
        <v>17350</v>
      </c>
      <c r="V1321" s="80"/>
      <c r="W1321" s="80"/>
      <c r="X1321" s="80">
        <v>17350</v>
      </c>
      <c r="Y1321" s="76" t="s">
        <v>175</v>
      </c>
      <c r="Z1321" s="19" t="s">
        <v>7038</v>
      </c>
      <c r="AA1321" s="28"/>
      <c r="AB1321" s="56"/>
      <c r="AC1321" s="28"/>
      <c r="AD1321" s="28"/>
      <c r="AE1321" s="54"/>
      <c r="AF1321" s="54"/>
      <c r="AG1321" s="54"/>
      <c r="AH1321" s="53"/>
      <c r="AI1321" s="53" t="s">
        <v>1591</v>
      </c>
      <c r="AJ1321" s="53" t="s">
        <v>1591</v>
      </c>
    </row>
    <row r="1322" spans="1:36" s="3" customFormat="1" ht="36" x14ac:dyDescent="0.25">
      <c r="A1322" s="35" t="s">
        <v>2749</v>
      </c>
      <c r="B1322" s="18" t="s">
        <v>37</v>
      </c>
      <c r="C1322" s="76"/>
      <c r="D1322" s="43" t="s">
        <v>6604</v>
      </c>
      <c r="E1322" s="78"/>
      <c r="F1322" s="36"/>
      <c r="G1322" s="80"/>
      <c r="H1322" s="80"/>
      <c r="I1322" s="36" t="s">
        <v>1960</v>
      </c>
      <c r="J1322" s="34" t="s">
        <v>6577</v>
      </c>
      <c r="K1322" s="37" t="s">
        <v>570</v>
      </c>
      <c r="L1322" s="38">
        <v>42005</v>
      </c>
      <c r="M1322" s="39">
        <v>42125</v>
      </c>
      <c r="N1322" s="42">
        <v>55138.06</v>
      </c>
      <c r="O1322" s="85"/>
      <c r="P1322" s="86">
        <v>42125</v>
      </c>
      <c r="Q1322" s="41"/>
      <c r="R1322" s="41">
        <v>55138.06</v>
      </c>
      <c r="S1322" s="80"/>
      <c r="T1322" s="81"/>
      <c r="U1322" s="80"/>
      <c r="V1322" s="80"/>
      <c r="W1322" s="42"/>
      <c r="X1322" s="42">
        <v>48055.4</v>
      </c>
      <c r="Y1322" s="34" t="s">
        <v>4321</v>
      </c>
      <c r="Z1322" s="19" t="s">
        <v>7038</v>
      </c>
      <c r="AA1322" s="28"/>
      <c r="AB1322" s="56"/>
      <c r="AC1322" s="28"/>
      <c r="AD1322" s="28"/>
      <c r="AE1322" s="54"/>
      <c r="AF1322" s="54"/>
      <c r="AG1322" s="54"/>
      <c r="AH1322" s="53"/>
      <c r="AI1322" s="53" t="s">
        <v>1591</v>
      </c>
      <c r="AJ1322" s="53" t="s">
        <v>1591</v>
      </c>
    </row>
    <row r="1323" spans="1:36" s="3" customFormat="1" ht="36" x14ac:dyDescent="0.25">
      <c r="A1323" s="17" t="s">
        <v>2051</v>
      </c>
      <c r="B1323" s="18" t="s">
        <v>37</v>
      </c>
      <c r="C1323" s="76" t="s">
        <v>673</v>
      </c>
      <c r="D1323" s="45" t="s">
        <v>6605</v>
      </c>
      <c r="E1323" s="78"/>
      <c r="F1323" s="79"/>
      <c r="G1323" s="80"/>
      <c r="H1323" s="80"/>
      <c r="I1323" s="78" t="s">
        <v>1960</v>
      </c>
      <c r="J1323" s="79" t="s">
        <v>6577</v>
      </c>
      <c r="K1323" s="81"/>
      <c r="L1323" s="82"/>
      <c r="M1323" s="83"/>
      <c r="N1323" s="80"/>
      <c r="O1323" s="82"/>
      <c r="P1323" s="84"/>
      <c r="Q1323" s="80">
        <v>0</v>
      </c>
      <c r="R1323" s="80"/>
      <c r="S1323" s="80"/>
      <c r="T1323" s="81" t="s">
        <v>40</v>
      </c>
      <c r="U1323" s="80">
        <v>1478.04</v>
      </c>
      <c r="V1323" s="80"/>
      <c r="W1323" s="80"/>
      <c r="X1323" s="80">
        <v>1478.04</v>
      </c>
      <c r="Y1323" s="76" t="s">
        <v>468</v>
      </c>
      <c r="Z1323" s="19" t="s">
        <v>7038</v>
      </c>
      <c r="AA1323" s="28"/>
      <c r="AB1323" s="56"/>
      <c r="AC1323" s="28"/>
      <c r="AD1323" s="28"/>
      <c r="AE1323" s="54"/>
      <c r="AF1323" s="54"/>
      <c r="AG1323" s="54"/>
      <c r="AH1323" s="53"/>
      <c r="AI1323" s="53" t="s">
        <v>1591</v>
      </c>
      <c r="AJ1323" s="53" t="s">
        <v>1591</v>
      </c>
    </row>
    <row r="1324" spans="1:36" s="3" customFormat="1" ht="48" x14ac:dyDescent="0.25">
      <c r="A1324" s="17" t="s">
        <v>2055</v>
      </c>
      <c r="B1324" s="18" t="s">
        <v>37</v>
      </c>
      <c r="C1324" s="19" t="s">
        <v>2047</v>
      </c>
      <c r="D1324" s="45" t="s">
        <v>2048</v>
      </c>
      <c r="E1324" s="50" t="s">
        <v>4220</v>
      </c>
      <c r="F1324" s="58" t="s">
        <v>43</v>
      </c>
      <c r="G1324" s="51">
        <v>1288750.6599999999</v>
      </c>
      <c r="H1324" s="51" t="s">
        <v>645</v>
      </c>
      <c r="I1324" s="50" t="s">
        <v>1878</v>
      </c>
      <c r="J1324" s="58" t="s">
        <v>4219</v>
      </c>
      <c r="K1324" s="52" t="s">
        <v>1068</v>
      </c>
      <c r="L1324" s="59">
        <v>42333</v>
      </c>
      <c r="M1324" s="60">
        <f>L1324+240</f>
        <v>42573</v>
      </c>
      <c r="N1324" s="51">
        <v>1263001.8999999999</v>
      </c>
      <c r="O1324" s="59">
        <v>42791</v>
      </c>
      <c r="P1324" s="59" t="s">
        <v>4291</v>
      </c>
      <c r="Q1324" s="51"/>
      <c r="R1324" s="51">
        <f t="shared" ref="R1324:R1329" si="50">N1324+Q1324</f>
        <v>1263001.8999999999</v>
      </c>
      <c r="S1324" s="51"/>
      <c r="T1324" s="52" t="s">
        <v>4290</v>
      </c>
      <c r="U1324" s="51">
        <v>0</v>
      </c>
      <c r="V1324" s="51">
        <v>0</v>
      </c>
      <c r="W1324" s="51">
        <v>0</v>
      </c>
      <c r="X1324" s="51">
        <v>0</v>
      </c>
      <c r="Y1324" s="19" t="s">
        <v>157</v>
      </c>
      <c r="Z1324" s="19"/>
      <c r="AA1324" s="28" t="s">
        <v>8424</v>
      </c>
      <c r="AB1324" s="56">
        <v>43460</v>
      </c>
      <c r="AC1324" s="28" t="s">
        <v>8425</v>
      </c>
      <c r="AD1324" s="28" t="s">
        <v>8426</v>
      </c>
      <c r="AE1324" s="54"/>
      <c r="AF1324" s="54"/>
      <c r="AG1324" s="54" t="s">
        <v>8427</v>
      </c>
      <c r="AH1324" s="53" t="s">
        <v>1591</v>
      </c>
      <c r="AI1324" s="53" t="s">
        <v>2686</v>
      </c>
      <c r="AJ1324" s="53" t="s">
        <v>1591</v>
      </c>
    </row>
    <row r="1325" spans="1:36" s="3" customFormat="1" ht="36" x14ac:dyDescent="0.25">
      <c r="A1325" s="17" t="s">
        <v>2055</v>
      </c>
      <c r="B1325" s="18" t="s">
        <v>37</v>
      </c>
      <c r="C1325" s="19" t="s">
        <v>1517</v>
      </c>
      <c r="D1325" s="45" t="s">
        <v>4064</v>
      </c>
      <c r="E1325" s="50"/>
      <c r="F1325" s="58"/>
      <c r="G1325" s="51"/>
      <c r="H1325" s="51"/>
      <c r="I1325" s="50" t="s">
        <v>1426</v>
      </c>
      <c r="J1325" s="58" t="s">
        <v>4217</v>
      </c>
      <c r="K1325" s="52" t="s">
        <v>635</v>
      </c>
      <c r="L1325" s="59">
        <v>42446</v>
      </c>
      <c r="M1325" s="60">
        <f>L1325+180</f>
        <v>42626</v>
      </c>
      <c r="N1325" s="51">
        <v>574555.31000000006</v>
      </c>
      <c r="O1325" s="59">
        <v>42810</v>
      </c>
      <c r="P1325" s="59" t="s">
        <v>2050</v>
      </c>
      <c r="Q1325" s="51">
        <f>575300.09-N1325</f>
        <v>744.77999999991152</v>
      </c>
      <c r="R1325" s="51">
        <f t="shared" si="50"/>
        <v>575300.09</v>
      </c>
      <c r="S1325" s="51"/>
      <c r="T1325" s="52" t="s">
        <v>4290</v>
      </c>
      <c r="U1325" s="51">
        <v>0</v>
      </c>
      <c r="V1325" s="51">
        <v>0</v>
      </c>
      <c r="W1325" s="51">
        <v>0</v>
      </c>
      <c r="X1325" s="51">
        <v>0</v>
      </c>
      <c r="Y1325" s="19" t="s">
        <v>157</v>
      </c>
      <c r="Z1325" s="19"/>
      <c r="AA1325" s="28" t="s">
        <v>8424</v>
      </c>
      <c r="AB1325" s="56">
        <v>43460</v>
      </c>
      <c r="AC1325" s="28" t="s">
        <v>8425</v>
      </c>
      <c r="AD1325" s="28" t="s">
        <v>8426</v>
      </c>
      <c r="AE1325" s="54" t="s">
        <v>8430</v>
      </c>
      <c r="AF1325" s="54"/>
      <c r="AG1325" s="54" t="s">
        <v>8428</v>
      </c>
      <c r="AH1325" s="53" t="s">
        <v>1591</v>
      </c>
      <c r="AI1325" s="53" t="s">
        <v>2686</v>
      </c>
      <c r="AJ1325" s="53" t="s">
        <v>1591</v>
      </c>
    </row>
    <row r="1326" spans="1:36" s="3" customFormat="1" ht="48" x14ac:dyDescent="0.25">
      <c r="A1326" s="17" t="s">
        <v>2055</v>
      </c>
      <c r="B1326" s="18" t="s">
        <v>37</v>
      </c>
      <c r="C1326" s="19" t="s">
        <v>1240</v>
      </c>
      <c r="D1326" s="45" t="s">
        <v>4065</v>
      </c>
      <c r="E1326" s="50" t="s">
        <v>4218</v>
      </c>
      <c r="F1326" s="58" t="s">
        <v>43</v>
      </c>
      <c r="G1326" s="51">
        <v>509402</v>
      </c>
      <c r="H1326" s="51" t="s">
        <v>645</v>
      </c>
      <c r="I1326" s="50" t="s">
        <v>1878</v>
      </c>
      <c r="J1326" s="58" t="s">
        <v>4219</v>
      </c>
      <c r="K1326" s="52" t="s">
        <v>1248</v>
      </c>
      <c r="L1326" s="59">
        <v>41954</v>
      </c>
      <c r="M1326" s="60">
        <f>L1326+180</f>
        <v>42134</v>
      </c>
      <c r="N1326" s="51">
        <v>494126.09</v>
      </c>
      <c r="O1326" s="59">
        <v>42854</v>
      </c>
      <c r="P1326" s="59" t="s">
        <v>2046</v>
      </c>
      <c r="Q1326" s="51"/>
      <c r="R1326" s="51">
        <f t="shared" si="50"/>
        <v>494126.09</v>
      </c>
      <c r="S1326" s="51"/>
      <c r="T1326" s="52" t="s">
        <v>4290</v>
      </c>
      <c r="U1326" s="51">
        <v>0</v>
      </c>
      <c r="V1326" s="51">
        <v>0</v>
      </c>
      <c r="W1326" s="51">
        <v>0</v>
      </c>
      <c r="X1326" s="51">
        <v>0</v>
      </c>
      <c r="Y1326" s="19" t="s">
        <v>157</v>
      </c>
      <c r="Z1326" s="19"/>
      <c r="AA1326" s="28" t="s">
        <v>8424</v>
      </c>
      <c r="AB1326" s="56">
        <v>43460</v>
      </c>
      <c r="AC1326" s="28" t="s">
        <v>8425</v>
      </c>
      <c r="AD1326" s="28" t="s">
        <v>8426</v>
      </c>
      <c r="AE1326" s="54"/>
      <c r="AF1326" s="54"/>
      <c r="AG1326" s="54" t="s">
        <v>8429</v>
      </c>
      <c r="AH1326" s="53" t="s">
        <v>1591</v>
      </c>
      <c r="AI1326" s="53" t="s">
        <v>2686</v>
      </c>
      <c r="AJ1326" s="53" t="s">
        <v>1591</v>
      </c>
    </row>
    <row r="1327" spans="1:36" s="3" customFormat="1" ht="48" x14ac:dyDescent="0.25">
      <c r="A1327" s="17" t="s">
        <v>2055</v>
      </c>
      <c r="B1327" s="18" t="s">
        <v>37</v>
      </c>
      <c r="C1327" s="19" t="s">
        <v>1243</v>
      </c>
      <c r="D1327" s="45" t="s">
        <v>4066</v>
      </c>
      <c r="E1327" s="50" t="s">
        <v>4218</v>
      </c>
      <c r="F1327" s="58" t="s">
        <v>43</v>
      </c>
      <c r="G1327" s="51">
        <v>509402</v>
      </c>
      <c r="H1327" s="51" t="s">
        <v>645</v>
      </c>
      <c r="I1327" s="50" t="s">
        <v>1878</v>
      </c>
      <c r="J1327" s="58" t="s">
        <v>4219</v>
      </c>
      <c r="K1327" s="52" t="s">
        <v>1210</v>
      </c>
      <c r="L1327" s="59">
        <v>41954</v>
      </c>
      <c r="M1327" s="60">
        <f>L1327+180</f>
        <v>42134</v>
      </c>
      <c r="N1327" s="51">
        <v>494126.09</v>
      </c>
      <c r="O1327" s="59">
        <v>42854</v>
      </c>
      <c r="P1327" s="59" t="s">
        <v>2046</v>
      </c>
      <c r="Q1327" s="51"/>
      <c r="R1327" s="51">
        <f t="shared" si="50"/>
        <v>494126.09</v>
      </c>
      <c r="S1327" s="51"/>
      <c r="T1327" s="52" t="s">
        <v>4290</v>
      </c>
      <c r="U1327" s="51">
        <v>0</v>
      </c>
      <c r="V1327" s="51">
        <v>0</v>
      </c>
      <c r="W1327" s="51">
        <v>0</v>
      </c>
      <c r="X1327" s="51">
        <v>0</v>
      </c>
      <c r="Y1327" s="19" t="s">
        <v>157</v>
      </c>
      <c r="Z1327" s="19"/>
      <c r="AA1327" s="28" t="s">
        <v>8424</v>
      </c>
      <c r="AB1327" s="56">
        <v>43460</v>
      </c>
      <c r="AC1327" s="28" t="s">
        <v>8425</v>
      </c>
      <c r="AD1327" s="28" t="s">
        <v>8426</v>
      </c>
      <c r="AE1327" s="54"/>
      <c r="AF1327" s="54"/>
      <c r="AG1327" s="54" t="s">
        <v>8429</v>
      </c>
      <c r="AH1327" s="53" t="s">
        <v>1591</v>
      </c>
      <c r="AI1327" s="53" t="s">
        <v>2686</v>
      </c>
      <c r="AJ1327" s="53" t="s">
        <v>1591</v>
      </c>
    </row>
    <row r="1328" spans="1:36" s="3" customFormat="1" ht="48" x14ac:dyDescent="0.25">
      <c r="A1328" s="17" t="s">
        <v>2055</v>
      </c>
      <c r="B1328" s="18" t="s">
        <v>37</v>
      </c>
      <c r="C1328" s="19" t="s">
        <v>3995</v>
      </c>
      <c r="D1328" s="45" t="s">
        <v>4068</v>
      </c>
      <c r="E1328" s="50"/>
      <c r="F1328" s="58"/>
      <c r="G1328" s="51"/>
      <c r="H1328" s="51"/>
      <c r="I1328" s="50" t="s">
        <v>1878</v>
      </c>
      <c r="J1328" s="58" t="s">
        <v>4219</v>
      </c>
      <c r="K1328" s="52" t="s">
        <v>2308</v>
      </c>
      <c r="L1328" s="59">
        <v>42446</v>
      </c>
      <c r="M1328" s="60">
        <f>L1328+180</f>
        <v>42626</v>
      </c>
      <c r="N1328" s="51">
        <v>382666.02</v>
      </c>
      <c r="O1328" s="59">
        <v>42811</v>
      </c>
      <c r="P1328" s="59" t="s">
        <v>2050</v>
      </c>
      <c r="Q1328" s="51"/>
      <c r="R1328" s="51">
        <f t="shared" si="50"/>
        <v>382666.02</v>
      </c>
      <c r="S1328" s="51"/>
      <c r="T1328" s="52" t="s">
        <v>4290</v>
      </c>
      <c r="U1328" s="51">
        <v>0</v>
      </c>
      <c r="V1328" s="51">
        <v>0</v>
      </c>
      <c r="W1328" s="51">
        <v>0</v>
      </c>
      <c r="X1328" s="51">
        <v>0</v>
      </c>
      <c r="Y1328" s="19" t="s">
        <v>1504</v>
      </c>
      <c r="Z1328" s="19"/>
      <c r="AA1328" s="28" t="s">
        <v>8424</v>
      </c>
      <c r="AB1328" s="56">
        <v>43460</v>
      </c>
      <c r="AC1328" s="28" t="s">
        <v>8425</v>
      </c>
      <c r="AD1328" s="28" t="s">
        <v>8426</v>
      </c>
      <c r="AE1328" s="54" t="s">
        <v>8430</v>
      </c>
      <c r="AF1328" s="54"/>
      <c r="AG1328" s="54" t="s">
        <v>8428</v>
      </c>
      <c r="AH1328" s="53" t="s">
        <v>1591</v>
      </c>
      <c r="AI1328" s="53" t="s">
        <v>2686</v>
      </c>
      <c r="AJ1328" s="53" t="s">
        <v>1591</v>
      </c>
    </row>
    <row r="1329" spans="1:36" s="3" customFormat="1" ht="48" x14ac:dyDescent="0.25">
      <c r="A1329" s="17" t="s">
        <v>2055</v>
      </c>
      <c r="B1329" s="18" t="s">
        <v>37</v>
      </c>
      <c r="C1329" s="19" t="s">
        <v>2945</v>
      </c>
      <c r="D1329" s="45" t="s">
        <v>4067</v>
      </c>
      <c r="E1329" s="50"/>
      <c r="F1329" s="58"/>
      <c r="G1329" s="51"/>
      <c r="H1329" s="51"/>
      <c r="I1329" s="50" t="s">
        <v>1878</v>
      </c>
      <c r="J1329" s="58" t="s">
        <v>4219</v>
      </c>
      <c r="K1329" s="52" t="s">
        <v>668</v>
      </c>
      <c r="L1329" s="59">
        <v>42153</v>
      </c>
      <c r="M1329" s="60">
        <f>L1329+180</f>
        <v>42333</v>
      </c>
      <c r="N1329" s="51">
        <v>362052.58</v>
      </c>
      <c r="O1329" s="59">
        <v>42519</v>
      </c>
      <c r="P1329" s="59" t="s">
        <v>2050</v>
      </c>
      <c r="Q1329" s="51"/>
      <c r="R1329" s="51">
        <f t="shared" si="50"/>
        <v>362052.58</v>
      </c>
      <c r="S1329" s="51"/>
      <c r="T1329" s="52" t="s">
        <v>4290</v>
      </c>
      <c r="U1329" s="51">
        <v>0</v>
      </c>
      <c r="V1329" s="51">
        <v>0</v>
      </c>
      <c r="W1329" s="51">
        <v>0</v>
      </c>
      <c r="X1329" s="51">
        <v>0</v>
      </c>
      <c r="Y1329" s="19" t="s">
        <v>498</v>
      </c>
      <c r="Z1329" s="19"/>
      <c r="AA1329" s="28" t="s">
        <v>8424</v>
      </c>
      <c r="AB1329" s="56">
        <v>43460</v>
      </c>
      <c r="AC1329" s="28" t="s">
        <v>8425</v>
      </c>
      <c r="AD1329" s="28" t="s">
        <v>8426</v>
      </c>
      <c r="AE1329" s="54"/>
      <c r="AF1329" s="54"/>
      <c r="AG1329" s="54" t="s">
        <v>8429</v>
      </c>
      <c r="AH1329" s="53" t="s">
        <v>1591</v>
      </c>
      <c r="AI1329" s="53" t="s">
        <v>2686</v>
      </c>
      <c r="AJ1329" s="53" t="s">
        <v>1591</v>
      </c>
    </row>
    <row r="1330" spans="1:36" s="3" customFormat="1" ht="36" x14ac:dyDescent="0.25">
      <c r="A1330" s="17" t="s">
        <v>2055</v>
      </c>
      <c r="B1330" s="18" t="s">
        <v>37</v>
      </c>
      <c r="C1330" s="76" t="s">
        <v>6607</v>
      </c>
      <c r="D1330" s="45" t="s">
        <v>6608</v>
      </c>
      <c r="E1330" s="78"/>
      <c r="F1330" s="79"/>
      <c r="G1330" s="80"/>
      <c r="H1330" s="80"/>
      <c r="I1330" s="78" t="s">
        <v>1426</v>
      </c>
      <c r="J1330" s="79" t="s">
        <v>6606</v>
      </c>
      <c r="K1330" s="81" t="s">
        <v>1189</v>
      </c>
      <c r="L1330" s="82">
        <v>42405</v>
      </c>
      <c r="M1330" s="83">
        <v>42525</v>
      </c>
      <c r="N1330" s="80">
        <v>144821.51999999999</v>
      </c>
      <c r="O1330" s="82">
        <v>42526</v>
      </c>
      <c r="P1330" s="84" t="s">
        <v>46</v>
      </c>
      <c r="Q1330" s="80">
        <v>0</v>
      </c>
      <c r="R1330" s="80">
        <v>144821.51999999999</v>
      </c>
      <c r="S1330" s="80"/>
      <c r="T1330" s="81" t="s">
        <v>32</v>
      </c>
      <c r="U1330" s="80">
        <v>51927.78</v>
      </c>
      <c r="V1330" s="80"/>
      <c r="W1330" s="80"/>
      <c r="X1330" s="80">
        <v>51927.78</v>
      </c>
      <c r="Y1330" s="76" t="s">
        <v>157</v>
      </c>
      <c r="Z1330" s="19" t="s">
        <v>7038</v>
      </c>
      <c r="AA1330" s="28" t="s">
        <v>8424</v>
      </c>
      <c r="AB1330" s="56">
        <v>43460</v>
      </c>
      <c r="AC1330" s="28" t="s">
        <v>8425</v>
      </c>
      <c r="AD1330" s="28" t="s">
        <v>8426</v>
      </c>
      <c r="AE1330" s="54"/>
      <c r="AF1330" s="54"/>
      <c r="AG1330" s="54" t="s">
        <v>8429</v>
      </c>
      <c r="AH1330" s="53" t="s">
        <v>1591</v>
      </c>
      <c r="AI1330" s="53" t="s">
        <v>2686</v>
      </c>
      <c r="AJ1330" s="53" t="s">
        <v>1591</v>
      </c>
    </row>
    <row r="1331" spans="1:36" s="3" customFormat="1" ht="156" x14ac:dyDescent="0.25">
      <c r="A1331" s="35" t="s">
        <v>2772</v>
      </c>
      <c r="B1331" s="18" t="s">
        <v>37</v>
      </c>
      <c r="C1331" s="76"/>
      <c r="D1331" s="43" t="s">
        <v>6609</v>
      </c>
      <c r="E1331" s="78"/>
      <c r="F1331" s="36" t="s">
        <v>889</v>
      </c>
      <c r="G1331" s="80"/>
      <c r="H1331" s="80"/>
      <c r="I1331" s="36" t="s">
        <v>6610</v>
      </c>
      <c r="J1331" s="34" t="s">
        <v>6611</v>
      </c>
      <c r="K1331" s="37" t="s">
        <v>2439</v>
      </c>
      <c r="L1331" s="38">
        <v>41996</v>
      </c>
      <c r="M1331" s="39">
        <v>42176</v>
      </c>
      <c r="N1331" s="42">
        <v>3037143.17</v>
      </c>
      <c r="O1331" s="85">
        <v>42178</v>
      </c>
      <c r="P1331" s="86">
        <v>42176</v>
      </c>
      <c r="Q1331" s="41">
        <v>0</v>
      </c>
      <c r="R1331" s="41">
        <v>3037143.17</v>
      </c>
      <c r="S1331" s="80"/>
      <c r="T1331" s="81"/>
      <c r="U1331" s="80"/>
      <c r="V1331" s="80"/>
      <c r="W1331" s="42"/>
      <c r="X1331" s="42">
        <v>557528.18999999994</v>
      </c>
      <c r="Y1331" s="34" t="s">
        <v>4321</v>
      </c>
      <c r="Z1331" s="19" t="s">
        <v>7038</v>
      </c>
      <c r="AA1331" s="28" t="s">
        <v>8066</v>
      </c>
      <c r="AB1331" s="56">
        <v>43416</v>
      </c>
      <c r="AC1331" s="28" t="s">
        <v>8067</v>
      </c>
      <c r="AD1331" s="28" t="s">
        <v>8068</v>
      </c>
      <c r="AE1331" s="54" t="s">
        <v>8069</v>
      </c>
      <c r="AF1331" s="54"/>
      <c r="AG1331" s="54" t="s">
        <v>8070</v>
      </c>
      <c r="AH1331" s="53" t="s">
        <v>1591</v>
      </c>
      <c r="AI1331" s="53" t="s">
        <v>2686</v>
      </c>
      <c r="AJ1331" s="53" t="s">
        <v>1591</v>
      </c>
    </row>
    <row r="1332" spans="1:36" s="3" customFormat="1" ht="84" x14ac:dyDescent="0.25">
      <c r="A1332" s="35" t="s">
        <v>2772</v>
      </c>
      <c r="B1332" s="18" t="s">
        <v>37</v>
      </c>
      <c r="C1332" s="76"/>
      <c r="D1332" s="43" t="s">
        <v>6612</v>
      </c>
      <c r="E1332" s="78"/>
      <c r="F1332" s="36" t="s">
        <v>1910</v>
      </c>
      <c r="G1332" s="80"/>
      <c r="H1332" s="80"/>
      <c r="I1332" s="36" t="s">
        <v>1964</v>
      </c>
      <c r="J1332" s="34" t="s">
        <v>6613</v>
      </c>
      <c r="K1332" s="37" t="s">
        <v>6614</v>
      </c>
      <c r="L1332" s="38">
        <v>41493</v>
      </c>
      <c r="M1332" s="39">
        <v>42003</v>
      </c>
      <c r="N1332" s="42">
        <v>730840.77</v>
      </c>
      <c r="O1332" s="85">
        <v>42034</v>
      </c>
      <c r="P1332" s="86">
        <v>42003</v>
      </c>
      <c r="Q1332" s="41">
        <v>0</v>
      </c>
      <c r="R1332" s="41">
        <v>730840.77</v>
      </c>
      <c r="S1332" s="80"/>
      <c r="T1332" s="81"/>
      <c r="U1332" s="80"/>
      <c r="V1332" s="80"/>
      <c r="W1332" s="42"/>
      <c r="X1332" s="42">
        <v>494607.93</v>
      </c>
      <c r="Y1332" s="34" t="s">
        <v>4321</v>
      </c>
      <c r="Z1332" s="19" t="s">
        <v>7038</v>
      </c>
      <c r="AA1332" s="28" t="s">
        <v>8066</v>
      </c>
      <c r="AB1332" s="56">
        <v>43416</v>
      </c>
      <c r="AC1332" s="28" t="s">
        <v>8067</v>
      </c>
      <c r="AD1332" s="28" t="s">
        <v>8068</v>
      </c>
      <c r="AE1332" s="54" t="s">
        <v>8071</v>
      </c>
      <c r="AF1332" s="54"/>
      <c r="AG1332" s="54" t="s">
        <v>8072</v>
      </c>
      <c r="AH1332" s="53" t="s">
        <v>1591</v>
      </c>
      <c r="AI1332" s="53" t="s">
        <v>2686</v>
      </c>
      <c r="AJ1332" s="53" t="s">
        <v>1591</v>
      </c>
    </row>
    <row r="1333" spans="1:36" s="3" customFormat="1" ht="48" x14ac:dyDescent="0.25">
      <c r="A1333" s="35" t="s">
        <v>2772</v>
      </c>
      <c r="B1333" s="18" t="s">
        <v>37</v>
      </c>
      <c r="C1333" s="76"/>
      <c r="D1333" s="43" t="s">
        <v>6615</v>
      </c>
      <c r="E1333" s="78"/>
      <c r="F1333" s="36" t="s">
        <v>43</v>
      </c>
      <c r="G1333" s="80"/>
      <c r="H1333" s="80"/>
      <c r="I1333" s="36" t="s">
        <v>6610</v>
      </c>
      <c r="J1333" s="34" t="s">
        <v>6611</v>
      </c>
      <c r="K1333" s="37" t="s">
        <v>2442</v>
      </c>
      <c r="L1333" s="38">
        <v>41939</v>
      </c>
      <c r="M1333" s="39">
        <v>42119</v>
      </c>
      <c r="N1333" s="42">
        <v>504608.94</v>
      </c>
      <c r="O1333" s="85">
        <v>42118</v>
      </c>
      <c r="P1333" s="86">
        <v>42119</v>
      </c>
      <c r="Q1333" s="41">
        <v>0</v>
      </c>
      <c r="R1333" s="41">
        <v>504608.94</v>
      </c>
      <c r="S1333" s="80"/>
      <c r="T1333" s="81"/>
      <c r="U1333" s="80"/>
      <c r="V1333" s="80"/>
      <c r="W1333" s="42"/>
      <c r="X1333" s="42">
        <v>203827.37</v>
      </c>
      <c r="Y1333" s="34" t="s">
        <v>4321</v>
      </c>
      <c r="Z1333" s="19" t="s">
        <v>7038</v>
      </c>
      <c r="AA1333" s="28" t="s">
        <v>8066</v>
      </c>
      <c r="AB1333" s="56">
        <v>43416</v>
      </c>
      <c r="AC1333" s="28" t="s">
        <v>8067</v>
      </c>
      <c r="AD1333" s="28" t="s">
        <v>8068</v>
      </c>
      <c r="AE1333" s="54" t="s">
        <v>8073</v>
      </c>
      <c r="AF1333" s="54"/>
      <c r="AG1333" s="54" t="s">
        <v>8074</v>
      </c>
      <c r="AH1333" s="53" t="s">
        <v>1591</v>
      </c>
      <c r="AI1333" s="53" t="s">
        <v>2686</v>
      </c>
      <c r="AJ1333" s="53" t="s">
        <v>1591</v>
      </c>
    </row>
    <row r="1334" spans="1:36" s="3" customFormat="1" ht="60" x14ac:dyDescent="0.25">
      <c r="A1334" s="17" t="s">
        <v>2056</v>
      </c>
      <c r="B1334" s="18" t="s">
        <v>37</v>
      </c>
      <c r="C1334" s="76" t="s">
        <v>1244</v>
      </c>
      <c r="D1334" s="45" t="s">
        <v>6616</v>
      </c>
      <c r="E1334" s="78"/>
      <c r="F1334" s="79" t="s">
        <v>661</v>
      </c>
      <c r="G1334" s="80">
        <v>954517.59</v>
      </c>
      <c r="H1334" s="80">
        <v>19480</v>
      </c>
      <c r="I1334" s="78" t="s">
        <v>681</v>
      </c>
      <c r="J1334" s="79" t="s">
        <v>6617</v>
      </c>
      <c r="K1334" s="81" t="s">
        <v>4801</v>
      </c>
      <c r="L1334" s="82">
        <v>41908</v>
      </c>
      <c r="M1334" s="83">
        <v>42058</v>
      </c>
      <c r="N1334" s="80">
        <v>331807.82</v>
      </c>
      <c r="O1334" s="82">
        <v>42057</v>
      </c>
      <c r="P1334" s="84" t="s">
        <v>5204</v>
      </c>
      <c r="Q1334" s="80">
        <v>65040.570000000007</v>
      </c>
      <c r="R1334" s="80">
        <v>396848.39</v>
      </c>
      <c r="S1334" s="80">
        <v>65040.57</v>
      </c>
      <c r="T1334" s="81" t="s">
        <v>1139</v>
      </c>
      <c r="U1334" s="80">
        <v>65040.57</v>
      </c>
      <c r="V1334" s="80"/>
      <c r="W1334" s="80"/>
      <c r="X1334" s="80">
        <v>269414.96000000002</v>
      </c>
      <c r="Y1334" s="76" t="s">
        <v>175</v>
      </c>
      <c r="Z1334" s="19" t="s">
        <v>7038</v>
      </c>
      <c r="AA1334" s="28" t="s">
        <v>8066</v>
      </c>
      <c r="AB1334" s="56">
        <v>43416</v>
      </c>
      <c r="AC1334" s="28" t="s">
        <v>8067</v>
      </c>
      <c r="AD1334" s="28" t="s">
        <v>8068</v>
      </c>
      <c r="AE1334" s="54"/>
      <c r="AF1334" s="54"/>
      <c r="AG1334" s="54"/>
      <c r="AH1334" s="53"/>
      <c r="AI1334" s="53" t="s">
        <v>1591</v>
      </c>
      <c r="AJ1334" s="53" t="s">
        <v>1591</v>
      </c>
    </row>
    <row r="1335" spans="1:36" s="3" customFormat="1" ht="36" x14ac:dyDescent="0.25">
      <c r="A1335" s="35" t="s">
        <v>2772</v>
      </c>
      <c r="B1335" s="18" t="s">
        <v>37</v>
      </c>
      <c r="C1335" s="76"/>
      <c r="D1335" s="43" t="s">
        <v>6618</v>
      </c>
      <c r="E1335" s="78"/>
      <c r="F1335" s="36" t="s">
        <v>43</v>
      </c>
      <c r="G1335" s="80"/>
      <c r="H1335" s="80"/>
      <c r="I1335" s="36" t="s">
        <v>6619</v>
      </c>
      <c r="J1335" s="34" t="s">
        <v>6620</v>
      </c>
      <c r="K1335" s="37" t="s">
        <v>2438</v>
      </c>
      <c r="L1335" s="38">
        <v>41953</v>
      </c>
      <c r="M1335" s="39">
        <v>42223</v>
      </c>
      <c r="N1335" s="42">
        <v>243997.73</v>
      </c>
      <c r="O1335" s="85">
        <v>42226</v>
      </c>
      <c r="P1335" s="86">
        <v>42223</v>
      </c>
      <c r="Q1335" s="41">
        <v>0</v>
      </c>
      <c r="R1335" s="41">
        <v>243997.73</v>
      </c>
      <c r="S1335" s="80"/>
      <c r="T1335" s="81"/>
      <c r="U1335" s="80"/>
      <c r="V1335" s="80"/>
      <c r="W1335" s="42"/>
      <c r="X1335" s="42">
        <v>82129.72</v>
      </c>
      <c r="Y1335" s="34" t="s">
        <v>4321</v>
      </c>
      <c r="Z1335" s="19" t="s">
        <v>7038</v>
      </c>
      <c r="AA1335" s="28" t="s">
        <v>8066</v>
      </c>
      <c r="AB1335" s="56">
        <v>43416</v>
      </c>
      <c r="AC1335" s="28" t="s">
        <v>8067</v>
      </c>
      <c r="AD1335" s="28" t="s">
        <v>8068</v>
      </c>
      <c r="AE1335" s="54"/>
      <c r="AF1335" s="54"/>
      <c r="AG1335" s="54"/>
      <c r="AH1335" s="53"/>
      <c r="AI1335" s="53" t="s">
        <v>1591</v>
      </c>
      <c r="AJ1335" s="53" t="s">
        <v>1591</v>
      </c>
    </row>
    <row r="1336" spans="1:36" s="3" customFormat="1" ht="36" x14ac:dyDescent="0.25">
      <c r="A1336" s="35" t="s">
        <v>2772</v>
      </c>
      <c r="B1336" s="18" t="s">
        <v>37</v>
      </c>
      <c r="C1336" s="76"/>
      <c r="D1336" s="43" t="s">
        <v>6621</v>
      </c>
      <c r="E1336" s="78"/>
      <c r="F1336" s="36" t="s">
        <v>43</v>
      </c>
      <c r="G1336" s="80"/>
      <c r="H1336" s="80"/>
      <c r="I1336" s="36" t="s">
        <v>6619</v>
      </c>
      <c r="J1336" s="34" t="s">
        <v>6620</v>
      </c>
      <c r="K1336" s="37" t="s">
        <v>4986</v>
      </c>
      <c r="L1336" s="38">
        <v>41953</v>
      </c>
      <c r="M1336" s="39">
        <v>42223</v>
      </c>
      <c r="N1336" s="42">
        <v>243997.73</v>
      </c>
      <c r="O1336" s="85">
        <v>42226</v>
      </c>
      <c r="P1336" s="86">
        <v>42223</v>
      </c>
      <c r="Q1336" s="41">
        <v>0</v>
      </c>
      <c r="R1336" s="41">
        <v>243997.73</v>
      </c>
      <c r="S1336" s="80"/>
      <c r="T1336" s="81"/>
      <c r="U1336" s="80"/>
      <c r="V1336" s="80"/>
      <c r="W1336" s="42"/>
      <c r="X1336" s="42">
        <v>229848.27</v>
      </c>
      <c r="Y1336" s="34" t="s">
        <v>4321</v>
      </c>
      <c r="Z1336" s="19" t="s">
        <v>7038</v>
      </c>
      <c r="AA1336" s="28" t="s">
        <v>8066</v>
      </c>
      <c r="AB1336" s="56">
        <v>43416</v>
      </c>
      <c r="AC1336" s="28" t="s">
        <v>8067</v>
      </c>
      <c r="AD1336" s="28" t="s">
        <v>8068</v>
      </c>
      <c r="AE1336" s="54"/>
      <c r="AF1336" s="54"/>
      <c r="AG1336" s="54"/>
      <c r="AH1336" s="53"/>
      <c r="AI1336" s="53" t="s">
        <v>1591</v>
      </c>
      <c r="AJ1336" s="53" t="s">
        <v>1591</v>
      </c>
    </row>
    <row r="1337" spans="1:36" s="3" customFormat="1" ht="48" x14ac:dyDescent="0.25">
      <c r="A1337" s="17" t="s">
        <v>2056</v>
      </c>
      <c r="B1337" s="18" t="s">
        <v>37</v>
      </c>
      <c r="C1337" s="76" t="s">
        <v>199</v>
      </c>
      <c r="D1337" s="45" t="s">
        <v>6622</v>
      </c>
      <c r="E1337" s="78"/>
      <c r="F1337" s="79" t="s">
        <v>1468</v>
      </c>
      <c r="G1337" s="80"/>
      <c r="H1337" s="80"/>
      <c r="I1337" s="78" t="s">
        <v>2057</v>
      </c>
      <c r="J1337" s="79" t="s">
        <v>6623</v>
      </c>
      <c r="K1337" s="81" t="s">
        <v>334</v>
      </c>
      <c r="L1337" s="82">
        <v>42443</v>
      </c>
      <c r="M1337" s="83">
        <v>42563</v>
      </c>
      <c r="N1337" s="80">
        <v>104440.7</v>
      </c>
      <c r="O1337" s="82">
        <v>42565</v>
      </c>
      <c r="P1337" s="84" t="s">
        <v>39</v>
      </c>
      <c r="Q1337" s="80">
        <v>0</v>
      </c>
      <c r="R1337" s="80">
        <v>104440.7</v>
      </c>
      <c r="S1337" s="80">
        <v>0</v>
      </c>
      <c r="T1337" s="81" t="s">
        <v>907</v>
      </c>
      <c r="U1337" s="80">
        <v>68370.66</v>
      </c>
      <c r="V1337" s="80"/>
      <c r="W1337" s="80"/>
      <c r="X1337" s="80">
        <v>68370.66</v>
      </c>
      <c r="Y1337" s="76" t="s">
        <v>142</v>
      </c>
      <c r="Z1337" s="19" t="s">
        <v>7038</v>
      </c>
      <c r="AA1337" s="28" t="s">
        <v>8066</v>
      </c>
      <c r="AB1337" s="56">
        <v>43416</v>
      </c>
      <c r="AC1337" s="28" t="s">
        <v>8067</v>
      </c>
      <c r="AD1337" s="28" t="s">
        <v>8068</v>
      </c>
      <c r="AE1337" s="54"/>
      <c r="AF1337" s="54"/>
      <c r="AG1337" s="54"/>
      <c r="AH1337" s="53"/>
      <c r="AI1337" s="53" t="s">
        <v>1591</v>
      </c>
      <c r="AJ1337" s="53" t="s">
        <v>1591</v>
      </c>
    </row>
    <row r="1338" spans="1:36" s="3" customFormat="1" ht="36" x14ac:dyDescent="0.25">
      <c r="A1338" s="17" t="s">
        <v>2772</v>
      </c>
      <c r="B1338" s="18" t="s">
        <v>37</v>
      </c>
      <c r="C1338" s="19" t="s">
        <v>4069</v>
      </c>
      <c r="D1338" s="45" t="s">
        <v>4070</v>
      </c>
      <c r="E1338" s="50"/>
      <c r="F1338" s="58"/>
      <c r="G1338" s="51"/>
      <c r="H1338" s="51"/>
      <c r="I1338" s="50" t="s">
        <v>1497</v>
      </c>
      <c r="J1338" s="58" t="s">
        <v>4221</v>
      </c>
      <c r="K1338" s="52"/>
      <c r="L1338" s="59"/>
      <c r="M1338" s="60"/>
      <c r="N1338" s="51">
        <v>0</v>
      </c>
      <c r="O1338" s="59"/>
      <c r="P1338" s="59"/>
      <c r="Q1338" s="51"/>
      <c r="R1338" s="51">
        <f>N1338+Q1338</f>
        <v>0</v>
      </c>
      <c r="S1338" s="51"/>
      <c r="T1338" s="52" t="s">
        <v>907</v>
      </c>
      <c r="U1338" s="51">
        <v>76189.72</v>
      </c>
      <c r="V1338" s="51">
        <v>76189.72</v>
      </c>
      <c r="W1338" s="51">
        <v>76189.72</v>
      </c>
      <c r="X1338" s="51">
        <v>76189.72</v>
      </c>
      <c r="Y1338" s="19" t="s">
        <v>149</v>
      </c>
      <c r="Z1338" s="19" t="s">
        <v>4307</v>
      </c>
      <c r="AA1338" s="28" t="s">
        <v>8066</v>
      </c>
      <c r="AB1338" s="56">
        <v>43416</v>
      </c>
      <c r="AC1338" s="28" t="s">
        <v>8067</v>
      </c>
      <c r="AD1338" s="28" t="s">
        <v>8068</v>
      </c>
      <c r="AE1338" s="54"/>
      <c r="AF1338" s="54"/>
      <c r="AG1338" s="54"/>
      <c r="AH1338" s="53"/>
      <c r="AI1338" s="53" t="s">
        <v>1591</v>
      </c>
      <c r="AJ1338" s="53" t="s">
        <v>1591</v>
      </c>
    </row>
    <row r="1339" spans="1:36" s="3" customFormat="1" ht="36" x14ac:dyDescent="0.25">
      <c r="A1339" s="17" t="s">
        <v>2056</v>
      </c>
      <c r="B1339" s="18" t="s">
        <v>37</v>
      </c>
      <c r="C1339" s="76" t="s">
        <v>117</v>
      </c>
      <c r="D1339" s="77" t="s">
        <v>6624</v>
      </c>
      <c r="E1339" s="78"/>
      <c r="F1339" s="79" t="s">
        <v>43</v>
      </c>
      <c r="G1339" s="80"/>
      <c r="H1339" s="80"/>
      <c r="I1339" s="78" t="s">
        <v>1497</v>
      </c>
      <c r="J1339" s="79" t="s">
        <v>6625</v>
      </c>
      <c r="K1339" s="81" t="s">
        <v>116</v>
      </c>
      <c r="L1339" s="82"/>
      <c r="M1339" s="83"/>
      <c r="N1339" s="80"/>
      <c r="O1339" s="82"/>
      <c r="P1339" s="84" t="s">
        <v>39</v>
      </c>
      <c r="Q1339" s="80">
        <v>0</v>
      </c>
      <c r="R1339" s="80"/>
      <c r="S1339" s="80"/>
      <c r="T1339" s="81" t="s">
        <v>907</v>
      </c>
      <c r="U1339" s="80"/>
      <c r="V1339" s="80"/>
      <c r="W1339" s="80"/>
      <c r="X1339" s="80">
        <v>38750.120000000003</v>
      </c>
      <c r="Y1339" s="76" t="s">
        <v>142</v>
      </c>
      <c r="Z1339" s="19" t="s">
        <v>7038</v>
      </c>
      <c r="AA1339" s="28" t="s">
        <v>8066</v>
      </c>
      <c r="AB1339" s="56">
        <v>43416</v>
      </c>
      <c r="AC1339" s="28" t="s">
        <v>8067</v>
      </c>
      <c r="AD1339" s="28" t="s">
        <v>8068</v>
      </c>
      <c r="AE1339" s="54"/>
      <c r="AF1339" s="54"/>
      <c r="AG1339" s="54"/>
      <c r="AH1339" s="53"/>
      <c r="AI1339" s="53" t="s">
        <v>1591</v>
      </c>
      <c r="AJ1339" s="53" t="s">
        <v>1591</v>
      </c>
    </row>
    <row r="1340" spans="1:36" s="3" customFormat="1" ht="36" x14ac:dyDescent="0.25">
      <c r="A1340" s="17" t="s">
        <v>2056</v>
      </c>
      <c r="B1340" s="18" t="s">
        <v>37</v>
      </c>
      <c r="C1340" s="76" t="s">
        <v>1315</v>
      </c>
      <c r="D1340" s="77" t="s">
        <v>6626</v>
      </c>
      <c r="E1340" s="78"/>
      <c r="F1340" s="79" t="s">
        <v>43</v>
      </c>
      <c r="G1340" s="80"/>
      <c r="H1340" s="80"/>
      <c r="I1340" s="78" t="s">
        <v>1497</v>
      </c>
      <c r="J1340" s="79" t="s">
        <v>6625</v>
      </c>
      <c r="K1340" s="81" t="s">
        <v>120</v>
      </c>
      <c r="L1340" s="82"/>
      <c r="M1340" s="83"/>
      <c r="N1340" s="80"/>
      <c r="O1340" s="82"/>
      <c r="P1340" s="84" t="s">
        <v>39</v>
      </c>
      <c r="Q1340" s="80">
        <v>0</v>
      </c>
      <c r="R1340" s="80"/>
      <c r="S1340" s="80"/>
      <c r="T1340" s="81" t="s">
        <v>907</v>
      </c>
      <c r="U1340" s="80"/>
      <c r="V1340" s="80"/>
      <c r="W1340" s="80"/>
      <c r="X1340" s="80">
        <v>38750.120000000003</v>
      </c>
      <c r="Y1340" s="76" t="s">
        <v>142</v>
      </c>
      <c r="Z1340" s="19" t="s">
        <v>7038</v>
      </c>
      <c r="AA1340" s="28" t="s">
        <v>8066</v>
      </c>
      <c r="AB1340" s="56">
        <v>43416</v>
      </c>
      <c r="AC1340" s="28" t="s">
        <v>8067</v>
      </c>
      <c r="AD1340" s="28" t="s">
        <v>8068</v>
      </c>
      <c r="AE1340" s="54"/>
      <c r="AF1340" s="54"/>
      <c r="AG1340" s="54"/>
      <c r="AH1340" s="53"/>
      <c r="AI1340" s="53" t="s">
        <v>1591</v>
      </c>
      <c r="AJ1340" s="53" t="s">
        <v>1591</v>
      </c>
    </row>
    <row r="1341" spans="1:36" s="3" customFormat="1" ht="36" x14ac:dyDescent="0.25">
      <c r="A1341" s="17" t="s">
        <v>2056</v>
      </c>
      <c r="B1341" s="18" t="s">
        <v>37</v>
      </c>
      <c r="C1341" s="76" t="s">
        <v>6627</v>
      </c>
      <c r="D1341" s="77" t="s">
        <v>6628</v>
      </c>
      <c r="E1341" s="78"/>
      <c r="F1341" s="79" t="s">
        <v>43</v>
      </c>
      <c r="G1341" s="80"/>
      <c r="H1341" s="80"/>
      <c r="I1341" s="78" t="s">
        <v>1964</v>
      </c>
      <c r="J1341" s="79" t="s">
        <v>6629</v>
      </c>
      <c r="K1341" s="81"/>
      <c r="L1341" s="82"/>
      <c r="M1341" s="83"/>
      <c r="N1341" s="80"/>
      <c r="O1341" s="82"/>
      <c r="P1341" s="84"/>
      <c r="Q1341" s="80">
        <v>0</v>
      </c>
      <c r="R1341" s="80"/>
      <c r="S1341" s="80"/>
      <c r="T1341" s="81" t="s">
        <v>907</v>
      </c>
      <c r="U1341" s="80">
        <v>70985.38</v>
      </c>
      <c r="V1341" s="80"/>
      <c r="W1341" s="80"/>
      <c r="X1341" s="80">
        <v>70985.38</v>
      </c>
      <c r="Y1341" s="76" t="s">
        <v>142</v>
      </c>
      <c r="Z1341" s="19" t="s">
        <v>7038</v>
      </c>
      <c r="AA1341" s="28" t="s">
        <v>8066</v>
      </c>
      <c r="AB1341" s="56">
        <v>43416</v>
      </c>
      <c r="AC1341" s="28" t="s">
        <v>8067</v>
      </c>
      <c r="AD1341" s="28" t="s">
        <v>8068</v>
      </c>
      <c r="AE1341" s="54"/>
      <c r="AF1341" s="54"/>
      <c r="AG1341" s="54"/>
      <c r="AH1341" s="53"/>
      <c r="AI1341" s="53" t="s">
        <v>1591</v>
      </c>
      <c r="AJ1341" s="53" t="s">
        <v>1591</v>
      </c>
    </row>
    <row r="1342" spans="1:36" s="3" customFormat="1" ht="36" x14ac:dyDescent="0.25">
      <c r="A1342" s="17" t="s">
        <v>2056</v>
      </c>
      <c r="B1342" s="18" t="s">
        <v>37</v>
      </c>
      <c r="C1342" s="76" t="s">
        <v>1510</v>
      </c>
      <c r="D1342" s="77" t="s">
        <v>8369</v>
      </c>
      <c r="E1342" s="78" t="s">
        <v>2435</v>
      </c>
      <c r="F1342" s="79" t="s">
        <v>8370</v>
      </c>
      <c r="G1342" s="80">
        <v>793107.38</v>
      </c>
      <c r="H1342" s="80">
        <v>11039.32</v>
      </c>
      <c r="I1342" s="78" t="s">
        <v>681</v>
      </c>
      <c r="J1342" s="79" t="s">
        <v>6617</v>
      </c>
      <c r="K1342" s="81" t="s">
        <v>174</v>
      </c>
      <c r="L1342" s="82">
        <v>42433</v>
      </c>
      <c r="M1342" s="83">
        <f>L1342+120</f>
        <v>42553</v>
      </c>
      <c r="N1342" s="80">
        <v>475802.07</v>
      </c>
      <c r="O1342" s="82"/>
      <c r="P1342" s="84"/>
      <c r="Q1342" s="80">
        <v>0</v>
      </c>
      <c r="R1342" s="51">
        <f>N1342+Q1342</f>
        <v>475802.07</v>
      </c>
      <c r="S1342" s="80"/>
      <c r="T1342" s="81" t="s">
        <v>907</v>
      </c>
      <c r="U1342" s="80">
        <v>228194.53</v>
      </c>
      <c r="V1342" s="80">
        <v>228194.53</v>
      </c>
      <c r="W1342" s="80">
        <v>228194.53</v>
      </c>
      <c r="X1342" s="80">
        <v>228194.53</v>
      </c>
      <c r="Y1342" s="76" t="s">
        <v>8371</v>
      </c>
      <c r="Z1342" s="19" t="s">
        <v>8372</v>
      </c>
      <c r="AA1342" s="28" t="s">
        <v>8066</v>
      </c>
      <c r="AB1342" s="56">
        <v>43416</v>
      </c>
      <c r="AC1342" s="28" t="s">
        <v>8067</v>
      </c>
      <c r="AD1342" s="28" t="s">
        <v>8068</v>
      </c>
      <c r="AE1342" s="54"/>
      <c r="AF1342" s="54"/>
      <c r="AG1342" s="54" t="s">
        <v>8373</v>
      </c>
      <c r="AH1342" s="53" t="s">
        <v>1591</v>
      </c>
      <c r="AI1342" s="53" t="s">
        <v>2686</v>
      </c>
      <c r="AJ1342" s="53" t="s">
        <v>1591</v>
      </c>
    </row>
    <row r="1343" spans="1:36" s="3" customFormat="1" ht="36" x14ac:dyDescent="0.25">
      <c r="A1343" s="17" t="s">
        <v>2019</v>
      </c>
      <c r="B1343" s="18" t="s">
        <v>37</v>
      </c>
      <c r="C1343" s="76" t="s">
        <v>6630</v>
      </c>
      <c r="D1343" s="45" t="s">
        <v>6631</v>
      </c>
      <c r="E1343" s="78" t="s">
        <v>1981</v>
      </c>
      <c r="F1343" s="79" t="s">
        <v>6632</v>
      </c>
      <c r="G1343" s="80">
        <v>617914.01</v>
      </c>
      <c r="H1343" s="80">
        <v>33560.33</v>
      </c>
      <c r="I1343" s="78" t="s">
        <v>6633</v>
      </c>
      <c r="J1343" s="79" t="s">
        <v>6634</v>
      </c>
      <c r="K1343" s="81" t="s">
        <v>117</v>
      </c>
      <c r="L1343" s="82">
        <v>42691</v>
      </c>
      <c r="M1343" s="83">
        <v>43056</v>
      </c>
      <c r="N1343" s="80">
        <v>648200.64</v>
      </c>
      <c r="O1343" s="82"/>
      <c r="P1343" s="84"/>
      <c r="Q1343" s="80">
        <v>0</v>
      </c>
      <c r="R1343" s="80">
        <v>648200.64</v>
      </c>
      <c r="S1343" s="80"/>
      <c r="T1343" s="81" t="s">
        <v>674</v>
      </c>
      <c r="U1343" s="80"/>
      <c r="V1343" s="80"/>
      <c r="W1343" s="80"/>
      <c r="X1343" s="80"/>
      <c r="Y1343" s="76" t="s">
        <v>5825</v>
      </c>
      <c r="Z1343" s="19" t="s">
        <v>7038</v>
      </c>
      <c r="AA1343" s="28"/>
      <c r="AB1343" s="56"/>
      <c r="AC1343" s="28"/>
      <c r="AD1343" s="28"/>
      <c r="AE1343" s="54"/>
      <c r="AF1343" s="54"/>
      <c r="AG1343" s="54"/>
      <c r="AH1343" s="53"/>
      <c r="AI1343" s="53" t="s">
        <v>1591</v>
      </c>
      <c r="AJ1343" s="53" t="s">
        <v>1591</v>
      </c>
    </row>
    <row r="1344" spans="1:36" s="3" customFormat="1" ht="72" x14ac:dyDescent="0.25">
      <c r="A1344" s="17" t="s">
        <v>2020</v>
      </c>
      <c r="B1344" s="18" t="s">
        <v>37</v>
      </c>
      <c r="C1344" s="76" t="s">
        <v>6635</v>
      </c>
      <c r="D1344" s="45" t="s">
        <v>6636</v>
      </c>
      <c r="E1344" s="78" t="s">
        <v>2022</v>
      </c>
      <c r="F1344" s="79" t="s">
        <v>43</v>
      </c>
      <c r="G1344" s="80">
        <v>487946.28</v>
      </c>
      <c r="H1344" s="80"/>
      <c r="I1344" s="78" t="s">
        <v>48</v>
      </c>
      <c r="J1344" s="79" t="s">
        <v>6637</v>
      </c>
      <c r="K1344" s="81" t="s">
        <v>401</v>
      </c>
      <c r="L1344" s="82">
        <v>41537</v>
      </c>
      <c r="M1344" s="83">
        <v>41902</v>
      </c>
      <c r="N1344" s="80">
        <v>1377018.08</v>
      </c>
      <c r="O1344" s="82">
        <v>42185</v>
      </c>
      <c r="P1344" s="84" t="s">
        <v>4596</v>
      </c>
      <c r="Q1344" s="80">
        <v>17868.280000000028</v>
      </c>
      <c r="R1344" s="80">
        <v>1394886.36</v>
      </c>
      <c r="S1344" s="80"/>
      <c r="T1344" s="81" t="s">
        <v>6638</v>
      </c>
      <c r="U1344" s="80"/>
      <c r="V1344" s="80"/>
      <c r="W1344" s="80"/>
      <c r="X1344" s="80">
        <v>351464.22</v>
      </c>
      <c r="Y1344" s="76" t="s">
        <v>157</v>
      </c>
      <c r="Z1344" s="19" t="s">
        <v>7038</v>
      </c>
      <c r="AA1344" s="28"/>
      <c r="AB1344" s="56"/>
      <c r="AC1344" s="28"/>
      <c r="AD1344" s="28"/>
      <c r="AE1344" s="54"/>
      <c r="AF1344" s="54"/>
      <c r="AG1344" s="54"/>
      <c r="AH1344" s="53"/>
      <c r="AI1344" s="53" t="s">
        <v>1591</v>
      </c>
      <c r="AJ1344" s="53" t="s">
        <v>1591</v>
      </c>
    </row>
    <row r="1345" spans="1:36" s="3" customFormat="1" ht="72" x14ac:dyDescent="0.25">
      <c r="A1345" s="17" t="s">
        <v>2020</v>
      </c>
      <c r="B1345" s="18" t="s">
        <v>37</v>
      </c>
      <c r="C1345" s="76" t="s">
        <v>6635</v>
      </c>
      <c r="D1345" s="45" t="s">
        <v>6639</v>
      </c>
      <c r="E1345" s="78" t="s">
        <v>2022</v>
      </c>
      <c r="F1345" s="79" t="s">
        <v>43</v>
      </c>
      <c r="G1345" s="80">
        <v>1363932.54</v>
      </c>
      <c r="H1345" s="80"/>
      <c r="I1345" s="78" t="s">
        <v>48</v>
      </c>
      <c r="J1345" s="79" t="s">
        <v>6637</v>
      </c>
      <c r="K1345" s="81" t="s">
        <v>2022</v>
      </c>
      <c r="L1345" s="82">
        <v>41537</v>
      </c>
      <c r="M1345" s="83">
        <v>41902</v>
      </c>
      <c r="N1345" s="80">
        <v>1377018.08</v>
      </c>
      <c r="O1345" s="82">
        <v>42185</v>
      </c>
      <c r="P1345" s="84" t="s">
        <v>4596</v>
      </c>
      <c r="Q1345" s="80">
        <v>0</v>
      </c>
      <c r="R1345" s="80">
        <v>1377018.08</v>
      </c>
      <c r="S1345" s="80"/>
      <c r="T1345" s="81" t="s">
        <v>6638</v>
      </c>
      <c r="U1345" s="80"/>
      <c r="V1345" s="80"/>
      <c r="W1345" s="80"/>
      <c r="X1345" s="80">
        <v>570233.24</v>
      </c>
      <c r="Y1345" s="76" t="s">
        <v>157</v>
      </c>
      <c r="Z1345" s="19" t="s">
        <v>7038</v>
      </c>
      <c r="AA1345" s="28"/>
      <c r="AB1345" s="56"/>
      <c r="AC1345" s="28"/>
      <c r="AD1345" s="28"/>
      <c r="AE1345" s="54"/>
      <c r="AF1345" s="54"/>
      <c r="AG1345" s="54"/>
      <c r="AH1345" s="53"/>
      <c r="AI1345" s="53" t="s">
        <v>1591</v>
      </c>
      <c r="AJ1345" s="53" t="s">
        <v>1591</v>
      </c>
    </row>
    <row r="1346" spans="1:36" s="3" customFormat="1" ht="72" x14ac:dyDescent="0.25">
      <c r="A1346" s="17" t="s">
        <v>2020</v>
      </c>
      <c r="B1346" s="18" t="s">
        <v>37</v>
      </c>
      <c r="C1346" s="76" t="s">
        <v>6640</v>
      </c>
      <c r="D1346" s="45" t="s">
        <v>6641</v>
      </c>
      <c r="E1346" s="78" t="s">
        <v>1469</v>
      </c>
      <c r="F1346" s="79" t="s">
        <v>661</v>
      </c>
      <c r="G1346" s="80">
        <v>754523</v>
      </c>
      <c r="H1346" s="80"/>
      <c r="I1346" s="78" t="s">
        <v>892</v>
      </c>
      <c r="J1346" s="79" t="s">
        <v>2021</v>
      </c>
      <c r="K1346" s="81" t="s">
        <v>1210</v>
      </c>
      <c r="L1346" s="82">
        <v>41911</v>
      </c>
      <c r="M1346" s="83">
        <v>42276</v>
      </c>
      <c r="N1346" s="80">
        <v>726570.38</v>
      </c>
      <c r="O1346" s="82">
        <v>42276</v>
      </c>
      <c r="P1346" s="84" t="s">
        <v>4601</v>
      </c>
      <c r="Q1346" s="80">
        <v>0</v>
      </c>
      <c r="R1346" s="80">
        <v>726570.38</v>
      </c>
      <c r="S1346" s="80"/>
      <c r="T1346" s="81" t="s">
        <v>6638</v>
      </c>
      <c r="U1346" s="80"/>
      <c r="V1346" s="80"/>
      <c r="W1346" s="80"/>
      <c r="X1346" s="80">
        <v>199026.89</v>
      </c>
      <c r="Y1346" s="76" t="s">
        <v>175</v>
      </c>
      <c r="Z1346" s="19" t="s">
        <v>7038</v>
      </c>
      <c r="AA1346" s="28"/>
      <c r="AB1346" s="56"/>
      <c r="AC1346" s="28"/>
      <c r="AD1346" s="28"/>
      <c r="AE1346" s="54"/>
      <c r="AF1346" s="54"/>
      <c r="AG1346" s="54"/>
      <c r="AH1346" s="53"/>
      <c r="AI1346" s="53" t="s">
        <v>1591</v>
      </c>
      <c r="AJ1346" s="53" t="s">
        <v>1591</v>
      </c>
    </row>
    <row r="1347" spans="1:36" s="3" customFormat="1" ht="96" x14ac:dyDescent="0.25">
      <c r="A1347" s="17" t="s">
        <v>2023</v>
      </c>
      <c r="B1347" s="18" t="s">
        <v>37</v>
      </c>
      <c r="C1347" s="19" t="s">
        <v>2026</v>
      </c>
      <c r="D1347" s="45" t="s">
        <v>2027</v>
      </c>
      <c r="E1347" s="50" t="s">
        <v>2028</v>
      </c>
      <c r="F1347" s="58" t="s">
        <v>2029</v>
      </c>
      <c r="G1347" s="51">
        <v>1950000</v>
      </c>
      <c r="H1347" s="51">
        <v>82000</v>
      </c>
      <c r="I1347" s="50" t="s">
        <v>63</v>
      </c>
      <c r="J1347" s="58" t="s">
        <v>1585</v>
      </c>
      <c r="K1347" s="52" t="s">
        <v>2030</v>
      </c>
      <c r="L1347" s="59">
        <v>41066</v>
      </c>
      <c r="M1347" s="60">
        <f>L1347+180</f>
        <v>41246</v>
      </c>
      <c r="N1347" s="51">
        <v>1934313.44</v>
      </c>
      <c r="O1347" s="59"/>
      <c r="P1347" s="59">
        <f>M1347+720</f>
        <v>41966</v>
      </c>
      <c r="Q1347" s="51">
        <v>-4365.72</v>
      </c>
      <c r="R1347" s="51">
        <f>N1347+Q1347</f>
        <v>1929947.72</v>
      </c>
      <c r="S1347" s="51"/>
      <c r="T1347" s="52" t="s">
        <v>52</v>
      </c>
      <c r="U1347" s="51">
        <v>0</v>
      </c>
      <c r="V1347" s="51">
        <v>0</v>
      </c>
      <c r="W1347" s="51">
        <v>0</v>
      </c>
      <c r="X1347" s="51">
        <v>1016246.79</v>
      </c>
      <c r="Y1347" s="19" t="s">
        <v>576</v>
      </c>
      <c r="Z1347" s="19"/>
      <c r="AA1347" s="28" t="s">
        <v>8075</v>
      </c>
      <c r="AB1347" s="56">
        <v>43417</v>
      </c>
      <c r="AC1347" s="28" t="s">
        <v>8076</v>
      </c>
      <c r="AD1347" s="28" t="s">
        <v>8077</v>
      </c>
      <c r="AE1347" s="54" t="s">
        <v>8078</v>
      </c>
      <c r="AF1347" s="54"/>
      <c r="AG1347" s="54" t="s">
        <v>8079</v>
      </c>
      <c r="AH1347" s="53" t="s">
        <v>1591</v>
      </c>
      <c r="AI1347" s="53" t="s">
        <v>2686</v>
      </c>
      <c r="AJ1347" s="53" t="s">
        <v>1591</v>
      </c>
    </row>
    <row r="1348" spans="1:36" s="3" customFormat="1" ht="120" x14ac:dyDescent="0.25">
      <c r="A1348" s="17" t="s">
        <v>2023</v>
      </c>
      <c r="B1348" s="18" t="s">
        <v>37</v>
      </c>
      <c r="C1348" s="19" t="s">
        <v>4071</v>
      </c>
      <c r="D1348" s="45" t="s">
        <v>4072</v>
      </c>
      <c r="E1348" s="50" t="s">
        <v>4223</v>
      </c>
      <c r="F1348" s="58" t="s">
        <v>4222</v>
      </c>
      <c r="G1348" s="51">
        <v>1288750.6599999999</v>
      </c>
      <c r="H1348" s="51">
        <v>81648.460000000006</v>
      </c>
      <c r="I1348" s="50" t="s">
        <v>35</v>
      </c>
      <c r="J1348" s="58" t="s">
        <v>4224</v>
      </c>
      <c r="K1348" s="52" t="s">
        <v>1869</v>
      </c>
      <c r="L1348" s="59">
        <v>42730</v>
      </c>
      <c r="M1348" s="60">
        <f>L1348+240</f>
        <v>42970</v>
      </c>
      <c r="N1348" s="51">
        <v>1370399.12</v>
      </c>
      <c r="O1348" s="59"/>
      <c r="P1348" s="59">
        <f>M1348+240</f>
        <v>43210</v>
      </c>
      <c r="Q1348" s="51">
        <v>76937.89</v>
      </c>
      <c r="R1348" s="51">
        <f>N1348+Q1348</f>
        <v>1447337.01</v>
      </c>
      <c r="S1348" s="51"/>
      <c r="T1348" s="52" t="s">
        <v>52</v>
      </c>
      <c r="U1348" s="51">
        <v>91579.37</v>
      </c>
      <c r="V1348" s="51">
        <v>91579.37</v>
      </c>
      <c r="W1348" s="51">
        <v>91579.37</v>
      </c>
      <c r="X1348" s="51">
        <v>91579.37</v>
      </c>
      <c r="Y1348" s="19" t="s">
        <v>576</v>
      </c>
      <c r="Z1348" s="19"/>
      <c r="AA1348" s="28" t="s">
        <v>8075</v>
      </c>
      <c r="AB1348" s="56">
        <v>43417</v>
      </c>
      <c r="AC1348" s="28" t="s">
        <v>8076</v>
      </c>
      <c r="AD1348" s="28" t="s">
        <v>8077</v>
      </c>
      <c r="AE1348" s="54" t="s">
        <v>8080</v>
      </c>
      <c r="AF1348" s="54"/>
      <c r="AG1348" s="54" t="s">
        <v>8081</v>
      </c>
      <c r="AH1348" s="53" t="s">
        <v>1591</v>
      </c>
      <c r="AI1348" s="53" t="s">
        <v>2686</v>
      </c>
      <c r="AJ1348" s="53" t="s">
        <v>1591</v>
      </c>
    </row>
    <row r="1349" spans="1:36" s="3" customFormat="1" ht="132" x14ac:dyDescent="0.25">
      <c r="A1349" s="17" t="s">
        <v>2023</v>
      </c>
      <c r="B1349" s="18" t="s">
        <v>37</v>
      </c>
      <c r="C1349" s="19" t="s">
        <v>4073</v>
      </c>
      <c r="D1349" s="45" t="s">
        <v>4074</v>
      </c>
      <c r="E1349" s="50" t="s">
        <v>4225</v>
      </c>
      <c r="F1349" s="58" t="s">
        <v>2029</v>
      </c>
      <c r="G1349" s="51">
        <v>292500</v>
      </c>
      <c r="H1349" s="51">
        <v>12618.87</v>
      </c>
      <c r="I1349" s="50" t="s">
        <v>138</v>
      </c>
      <c r="J1349" s="58" t="s">
        <v>2822</v>
      </c>
      <c r="K1349" s="52" t="s">
        <v>2848</v>
      </c>
      <c r="L1349" s="59">
        <v>40987</v>
      </c>
      <c r="M1349" s="60">
        <f>L1349+180</f>
        <v>41167</v>
      </c>
      <c r="N1349" s="51">
        <v>305118.87</v>
      </c>
      <c r="O1349" s="59"/>
      <c r="P1349" s="59"/>
      <c r="Q1349" s="51"/>
      <c r="R1349" s="51">
        <f>N1349+Q1349</f>
        <v>305118.87</v>
      </c>
      <c r="S1349" s="51"/>
      <c r="T1349" s="52" t="s">
        <v>52</v>
      </c>
      <c r="U1349" s="51">
        <v>0</v>
      </c>
      <c r="V1349" s="51">
        <v>0</v>
      </c>
      <c r="W1349" s="51">
        <v>0</v>
      </c>
      <c r="X1349" s="51">
        <v>57282.27</v>
      </c>
      <c r="Y1349" s="19" t="s">
        <v>576</v>
      </c>
      <c r="Z1349" s="19"/>
      <c r="AA1349" s="28" t="s">
        <v>8075</v>
      </c>
      <c r="AB1349" s="56">
        <v>43417</v>
      </c>
      <c r="AC1349" s="28" t="s">
        <v>8076</v>
      </c>
      <c r="AD1349" s="28" t="s">
        <v>8077</v>
      </c>
      <c r="AE1349" s="54" t="s">
        <v>8082</v>
      </c>
      <c r="AF1349" s="54"/>
      <c r="AG1349" s="54" t="s">
        <v>8083</v>
      </c>
      <c r="AH1349" s="53" t="s">
        <v>1591</v>
      </c>
      <c r="AI1349" s="53" t="s">
        <v>2686</v>
      </c>
      <c r="AJ1349" s="53" t="s">
        <v>1591</v>
      </c>
    </row>
    <row r="1350" spans="1:36" s="3" customFormat="1" ht="84" x14ac:dyDescent="0.25">
      <c r="A1350" s="17" t="s">
        <v>2023</v>
      </c>
      <c r="B1350" s="18" t="s">
        <v>37</v>
      </c>
      <c r="C1350" s="76" t="s">
        <v>6643</v>
      </c>
      <c r="D1350" s="45" t="s">
        <v>6644</v>
      </c>
      <c r="E1350" s="78"/>
      <c r="F1350" s="79"/>
      <c r="G1350" s="80"/>
      <c r="H1350" s="80"/>
      <c r="I1350" s="78" t="s">
        <v>6645</v>
      </c>
      <c r="J1350" s="79" t="s">
        <v>6646</v>
      </c>
      <c r="K1350" s="81" t="s">
        <v>5210</v>
      </c>
      <c r="L1350" s="82">
        <v>41862</v>
      </c>
      <c r="M1350" s="83">
        <v>42042</v>
      </c>
      <c r="N1350" s="80">
        <v>206336.39</v>
      </c>
      <c r="O1350" s="82">
        <v>42312</v>
      </c>
      <c r="P1350" s="84" t="s">
        <v>4457</v>
      </c>
      <c r="Q1350" s="80">
        <v>42288.56</v>
      </c>
      <c r="R1350" s="80">
        <v>248624.95</v>
      </c>
      <c r="S1350" s="80"/>
      <c r="T1350" s="81" t="s">
        <v>52</v>
      </c>
      <c r="U1350" s="80">
        <v>30741.17</v>
      </c>
      <c r="V1350" s="80"/>
      <c r="W1350" s="80"/>
      <c r="X1350" s="80">
        <v>30741.17</v>
      </c>
      <c r="Y1350" s="76" t="s">
        <v>33</v>
      </c>
      <c r="Z1350" s="19" t="s">
        <v>7038</v>
      </c>
      <c r="AA1350" s="28" t="s">
        <v>8075</v>
      </c>
      <c r="AB1350" s="56">
        <v>43417</v>
      </c>
      <c r="AC1350" s="28" t="s">
        <v>8076</v>
      </c>
      <c r="AD1350" s="28" t="s">
        <v>8077</v>
      </c>
      <c r="AE1350" s="54" t="s">
        <v>8084</v>
      </c>
      <c r="AF1350" s="54"/>
      <c r="AG1350" s="54" t="s">
        <v>8085</v>
      </c>
      <c r="AH1350" s="53" t="s">
        <v>1591</v>
      </c>
      <c r="AI1350" s="53" t="s">
        <v>2686</v>
      </c>
      <c r="AJ1350" s="53" t="s">
        <v>1591</v>
      </c>
    </row>
    <row r="1351" spans="1:36" s="3" customFormat="1" ht="72" x14ac:dyDescent="0.25">
      <c r="A1351" s="17" t="s">
        <v>2023</v>
      </c>
      <c r="B1351" s="18" t="s">
        <v>37</v>
      </c>
      <c r="C1351" s="76" t="s">
        <v>6649</v>
      </c>
      <c r="D1351" s="45" t="s">
        <v>6650</v>
      </c>
      <c r="E1351" s="78" t="s">
        <v>6642</v>
      </c>
      <c r="F1351" s="79" t="s">
        <v>2024</v>
      </c>
      <c r="G1351" s="80">
        <v>101446.07</v>
      </c>
      <c r="H1351" s="80">
        <v>0</v>
      </c>
      <c r="I1351" s="78" t="s">
        <v>6647</v>
      </c>
      <c r="J1351" s="79" t="s">
        <v>6648</v>
      </c>
      <c r="K1351" s="81" t="s">
        <v>6651</v>
      </c>
      <c r="L1351" s="82">
        <v>41484</v>
      </c>
      <c r="M1351" s="83">
        <v>41604</v>
      </c>
      <c r="N1351" s="80">
        <v>79661.05</v>
      </c>
      <c r="O1351" s="82">
        <v>42117</v>
      </c>
      <c r="P1351" s="84" t="s">
        <v>5529</v>
      </c>
      <c r="Q1351" s="80">
        <v>19399.97</v>
      </c>
      <c r="R1351" s="80">
        <v>99061.02</v>
      </c>
      <c r="S1351" s="80"/>
      <c r="T1351" s="81" t="s">
        <v>52</v>
      </c>
      <c r="U1351" s="80">
        <v>79838.92</v>
      </c>
      <c r="V1351" s="80"/>
      <c r="W1351" s="80"/>
      <c r="X1351" s="80">
        <v>79838.92</v>
      </c>
      <c r="Y1351" s="76" t="s">
        <v>33</v>
      </c>
      <c r="Z1351" s="19" t="s">
        <v>7038</v>
      </c>
      <c r="AA1351" s="28" t="s">
        <v>8075</v>
      </c>
      <c r="AB1351" s="56">
        <v>43417</v>
      </c>
      <c r="AC1351" s="28" t="s">
        <v>8076</v>
      </c>
      <c r="AD1351" s="28" t="s">
        <v>8077</v>
      </c>
      <c r="AE1351" s="54" t="s">
        <v>8086</v>
      </c>
      <c r="AF1351" s="54"/>
      <c r="AG1351" s="54" t="s">
        <v>8085</v>
      </c>
      <c r="AH1351" s="53" t="s">
        <v>1591</v>
      </c>
      <c r="AI1351" s="53" t="s">
        <v>2686</v>
      </c>
      <c r="AJ1351" s="53" t="s">
        <v>1591</v>
      </c>
    </row>
    <row r="1352" spans="1:36" s="3" customFormat="1" ht="228" x14ac:dyDescent="0.25">
      <c r="A1352" s="17" t="s">
        <v>2032</v>
      </c>
      <c r="B1352" s="18" t="s">
        <v>37</v>
      </c>
      <c r="C1352" s="76"/>
      <c r="D1352" s="45" t="s">
        <v>6660</v>
      </c>
      <c r="E1352" s="78"/>
      <c r="F1352" s="79" t="s">
        <v>6661</v>
      </c>
      <c r="G1352" s="80"/>
      <c r="H1352" s="80"/>
      <c r="I1352" s="78" t="s">
        <v>1180</v>
      </c>
      <c r="J1352" s="79" t="s">
        <v>6662</v>
      </c>
      <c r="K1352" s="81" t="s">
        <v>6663</v>
      </c>
      <c r="L1352" s="82">
        <v>41032</v>
      </c>
      <c r="M1352" s="83">
        <v>41512</v>
      </c>
      <c r="N1352" s="80">
        <v>6771794.0300000003</v>
      </c>
      <c r="O1352" s="82"/>
      <c r="P1352" s="84"/>
      <c r="Q1352" s="80"/>
      <c r="R1352" s="80">
        <v>6771794.0300000003</v>
      </c>
      <c r="S1352" s="80"/>
      <c r="T1352" s="81"/>
      <c r="U1352" s="80"/>
      <c r="V1352" s="80"/>
      <c r="W1352" s="80"/>
      <c r="X1352" s="80">
        <v>1532944.48</v>
      </c>
      <c r="Y1352" s="76" t="s">
        <v>6664</v>
      </c>
      <c r="Z1352" s="19" t="s">
        <v>7038</v>
      </c>
      <c r="AA1352" s="28" t="s">
        <v>8087</v>
      </c>
      <c r="AB1352" s="56">
        <v>43418</v>
      </c>
      <c r="AC1352" s="28" t="s">
        <v>8088</v>
      </c>
      <c r="AD1352" s="28" t="s">
        <v>8089</v>
      </c>
      <c r="AE1352" s="54" t="s">
        <v>8090</v>
      </c>
      <c r="AF1352" s="54"/>
      <c r="AG1352" s="54" t="s">
        <v>8091</v>
      </c>
      <c r="AH1352" s="53" t="s">
        <v>1591</v>
      </c>
      <c r="AI1352" s="53" t="s">
        <v>2686</v>
      </c>
      <c r="AJ1352" s="53" t="s">
        <v>1591</v>
      </c>
    </row>
    <row r="1353" spans="1:36" s="3" customFormat="1" ht="84" x14ac:dyDescent="0.25">
      <c r="A1353" s="17" t="s">
        <v>2032</v>
      </c>
      <c r="B1353" s="18" t="s">
        <v>37</v>
      </c>
      <c r="C1353" s="76" t="s">
        <v>6653</v>
      </c>
      <c r="D1353" s="45" t="s">
        <v>6654</v>
      </c>
      <c r="E1353" s="78" t="s">
        <v>6655</v>
      </c>
      <c r="F1353" s="79" t="s">
        <v>1330</v>
      </c>
      <c r="G1353" s="80">
        <v>731250</v>
      </c>
      <c r="H1353" s="80">
        <v>15000</v>
      </c>
      <c r="I1353" s="78" t="s">
        <v>884</v>
      </c>
      <c r="J1353" s="79" t="s">
        <v>6656</v>
      </c>
      <c r="K1353" s="81" t="s">
        <v>2033</v>
      </c>
      <c r="L1353" s="82">
        <v>41819</v>
      </c>
      <c r="M1353" s="83">
        <v>41999</v>
      </c>
      <c r="N1353" s="80">
        <v>730745.85</v>
      </c>
      <c r="O1353" s="82"/>
      <c r="P1353" s="84"/>
      <c r="Q1353" s="80">
        <v>0</v>
      </c>
      <c r="R1353" s="80">
        <v>730745.85</v>
      </c>
      <c r="S1353" s="80"/>
      <c r="T1353" s="81" t="s">
        <v>45</v>
      </c>
      <c r="U1353" s="80">
        <v>11106.93</v>
      </c>
      <c r="V1353" s="80"/>
      <c r="W1353" s="80"/>
      <c r="X1353" s="80">
        <v>11106.93</v>
      </c>
      <c r="Y1353" s="76" t="s">
        <v>42</v>
      </c>
      <c r="Z1353" s="19" t="s">
        <v>7038</v>
      </c>
      <c r="AA1353" s="28" t="s">
        <v>8087</v>
      </c>
      <c r="AB1353" s="56">
        <v>43418</v>
      </c>
      <c r="AC1353" s="28" t="s">
        <v>8088</v>
      </c>
      <c r="AD1353" s="28" t="s">
        <v>8089</v>
      </c>
      <c r="AE1353" s="54" t="s">
        <v>8092</v>
      </c>
      <c r="AF1353" s="54"/>
      <c r="AG1353" s="54" t="s">
        <v>8093</v>
      </c>
      <c r="AH1353" s="53" t="s">
        <v>1591</v>
      </c>
      <c r="AI1353" s="53" t="s">
        <v>2686</v>
      </c>
      <c r="AJ1353" s="53" t="s">
        <v>1591</v>
      </c>
    </row>
    <row r="1354" spans="1:36" s="3" customFormat="1" ht="96" x14ac:dyDescent="0.25">
      <c r="A1354" s="17" t="s">
        <v>2032</v>
      </c>
      <c r="B1354" s="18" t="s">
        <v>37</v>
      </c>
      <c r="C1354" s="76" t="s">
        <v>2035</v>
      </c>
      <c r="D1354" s="45" t="s">
        <v>6657</v>
      </c>
      <c r="E1354" s="78" t="s">
        <v>6658</v>
      </c>
      <c r="F1354" s="79" t="s">
        <v>6659</v>
      </c>
      <c r="G1354" s="80">
        <v>400000</v>
      </c>
      <c r="H1354" s="80">
        <v>10000</v>
      </c>
      <c r="I1354" s="78" t="s">
        <v>888</v>
      </c>
      <c r="J1354" s="79" t="s">
        <v>2034</v>
      </c>
      <c r="K1354" s="81" t="s">
        <v>2033</v>
      </c>
      <c r="L1354" s="82">
        <v>41813</v>
      </c>
      <c r="M1354" s="83">
        <v>41993</v>
      </c>
      <c r="N1354" s="80">
        <v>403810.56</v>
      </c>
      <c r="O1354" s="82"/>
      <c r="P1354" s="84"/>
      <c r="Q1354" s="80">
        <v>0</v>
      </c>
      <c r="R1354" s="80">
        <v>403810.56</v>
      </c>
      <c r="S1354" s="80"/>
      <c r="T1354" s="81" t="s">
        <v>45</v>
      </c>
      <c r="U1354" s="80">
        <v>72392.639999999999</v>
      </c>
      <c r="V1354" s="80"/>
      <c r="W1354" s="80"/>
      <c r="X1354" s="80">
        <v>72392.639999999999</v>
      </c>
      <c r="Y1354" s="76" t="s">
        <v>42</v>
      </c>
      <c r="Z1354" s="19" t="s">
        <v>7038</v>
      </c>
      <c r="AA1354" s="28" t="s">
        <v>8087</v>
      </c>
      <c r="AB1354" s="56">
        <v>43418</v>
      </c>
      <c r="AC1354" s="28" t="s">
        <v>8088</v>
      </c>
      <c r="AD1354" s="28" t="s">
        <v>8089</v>
      </c>
      <c r="AE1354" s="54" t="s">
        <v>8092</v>
      </c>
      <c r="AF1354" s="54"/>
      <c r="AG1354" s="54" t="s">
        <v>8094</v>
      </c>
      <c r="AH1354" s="53" t="s">
        <v>1591</v>
      </c>
      <c r="AI1354" s="53" t="s">
        <v>2686</v>
      </c>
      <c r="AJ1354" s="53" t="s">
        <v>1591</v>
      </c>
    </row>
    <row r="1355" spans="1:36" s="3" customFormat="1" ht="60" x14ac:dyDescent="0.25">
      <c r="A1355" s="17" t="s">
        <v>2032</v>
      </c>
      <c r="B1355" s="18" t="s">
        <v>37</v>
      </c>
      <c r="C1355" s="19" t="s">
        <v>4076</v>
      </c>
      <c r="D1355" s="45" t="s">
        <v>4075</v>
      </c>
      <c r="E1355" s="50"/>
      <c r="F1355" s="58"/>
      <c r="G1355" s="51"/>
      <c r="H1355" s="51"/>
      <c r="I1355" s="50" t="s">
        <v>2036</v>
      </c>
      <c r="J1355" s="58" t="s">
        <v>4226</v>
      </c>
      <c r="K1355" s="52" t="s">
        <v>1060</v>
      </c>
      <c r="L1355" s="59"/>
      <c r="M1355" s="60"/>
      <c r="N1355" s="51">
        <v>113656</v>
      </c>
      <c r="O1355" s="59"/>
      <c r="P1355" s="59"/>
      <c r="Q1355" s="51"/>
      <c r="R1355" s="51">
        <f>N1355+Q1355</f>
        <v>113656</v>
      </c>
      <c r="S1355" s="51"/>
      <c r="T1355" s="52" t="s">
        <v>45</v>
      </c>
      <c r="U1355" s="51">
        <v>12497.95</v>
      </c>
      <c r="V1355" s="51">
        <v>12497.95</v>
      </c>
      <c r="W1355" s="51">
        <v>12497.95</v>
      </c>
      <c r="X1355" s="51">
        <v>12497.95</v>
      </c>
      <c r="Y1355" s="19" t="s">
        <v>42</v>
      </c>
      <c r="Z1355" s="19"/>
      <c r="AA1355" s="28" t="s">
        <v>8087</v>
      </c>
      <c r="AB1355" s="56">
        <v>43418</v>
      </c>
      <c r="AC1355" s="28" t="s">
        <v>8088</v>
      </c>
      <c r="AD1355" s="28" t="s">
        <v>8089</v>
      </c>
      <c r="AE1355" s="54" t="s">
        <v>8095</v>
      </c>
      <c r="AF1355" s="54"/>
      <c r="AG1355" s="54" t="s">
        <v>8096</v>
      </c>
      <c r="AH1355" s="53" t="s">
        <v>1591</v>
      </c>
      <c r="AI1355" s="53" t="s">
        <v>2686</v>
      </c>
      <c r="AJ1355" s="53" t="s">
        <v>1591</v>
      </c>
    </row>
    <row r="1356" spans="1:36" s="3" customFormat="1" ht="48" x14ac:dyDescent="0.25">
      <c r="A1356" s="17" t="s">
        <v>2037</v>
      </c>
      <c r="B1356" s="18" t="s">
        <v>37</v>
      </c>
      <c r="C1356" s="76" t="s">
        <v>1460</v>
      </c>
      <c r="D1356" s="45" t="s">
        <v>6665</v>
      </c>
      <c r="E1356" s="78" t="s">
        <v>2039</v>
      </c>
      <c r="F1356" s="79" t="s">
        <v>2040</v>
      </c>
      <c r="G1356" s="80">
        <v>304744.53999999998</v>
      </c>
      <c r="H1356" s="80"/>
      <c r="I1356" s="78" t="s">
        <v>1209</v>
      </c>
      <c r="J1356" s="79" t="s">
        <v>2038</v>
      </c>
      <c r="K1356" s="81" t="s">
        <v>6666</v>
      </c>
      <c r="L1356" s="82">
        <v>42391</v>
      </c>
      <c r="M1356" s="83">
        <v>42571</v>
      </c>
      <c r="N1356" s="80">
        <v>268116.34000000003</v>
      </c>
      <c r="O1356" s="82">
        <v>42573</v>
      </c>
      <c r="P1356" s="84"/>
      <c r="Q1356" s="80">
        <v>0</v>
      </c>
      <c r="R1356" s="80">
        <v>268116.34000000003</v>
      </c>
      <c r="S1356" s="80"/>
      <c r="T1356" s="81" t="s">
        <v>45</v>
      </c>
      <c r="U1356" s="80">
        <v>10693.23</v>
      </c>
      <c r="V1356" s="80"/>
      <c r="W1356" s="80"/>
      <c r="X1356" s="80">
        <v>10693.23</v>
      </c>
      <c r="Y1356" s="76" t="s">
        <v>844</v>
      </c>
      <c r="Z1356" s="19" t="s">
        <v>7038</v>
      </c>
      <c r="AA1356" s="28"/>
      <c r="AB1356" s="56"/>
      <c r="AC1356" s="28"/>
      <c r="AD1356" s="28"/>
      <c r="AE1356" s="54"/>
      <c r="AF1356" s="54"/>
      <c r="AG1356" s="54"/>
      <c r="AH1356" s="53"/>
      <c r="AI1356" s="53" t="s">
        <v>1591</v>
      </c>
      <c r="AJ1356" s="53" t="s">
        <v>1591</v>
      </c>
    </row>
    <row r="1357" spans="1:36" s="3" customFormat="1" ht="48" x14ac:dyDescent="0.25">
      <c r="A1357" s="17" t="s">
        <v>2037</v>
      </c>
      <c r="B1357" s="18" t="s">
        <v>37</v>
      </c>
      <c r="C1357" s="19" t="s">
        <v>4077</v>
      </c>
      <c r="D1357" s="45" t="s">
        <v>4078</v>
      </c>
      <c r="E1357" s="50" t="s">
        <v>4228</v>
      </c>
      <c r="F1357" s="58" t="s">
        <v>4227</v>
      </c>
      <c r="G1357" s="51">
        <v>100000</v>
      </c>
      <c r="H1357" s="51"/>
      <c r="I1357" s="50" t="s">
        <v>1209</v>
      </c>
      <c r="J1357" s="58" t="s">
        <v>2038</v>
      </c>
      <c r="K1357" s="52" t="s">
        <v>1016</v>
      </c>
      <c r="L1357" s="59" t="s">
        <v>3254</v>
      </c>
      <c r="M1357" s="60">
        <f>L1357+180</f>
        <v>42064</v>
      </c>
      <c r="N1357" s="51">
        <v>99006.64</v>
      </c>
      <c r="O1357" s="59" t="s">
        <v>2752</v>
      </c>
      <c r="P1357" s="59">
        <f>M1357+24*30</f>
        <v>42784</v>
      </c>
      <c r="Q1357" s="51"/>
      <c r="R1357" s="51">
        <f>N1357+Q1357</f>
        <v>99006.64</v>
      </c>
      <c r="S1357" s="51"/>
      <c r="T1357" s="52" t="s">
        <v>45</v>
      </c>
      <c r="U1357" s="51">
        <v>34309.370000000003</v>
      </c>
      <c r="V1357" s="51">
        <v>34309.370000000003</v>
      </c>
      <c r="W1357" s="51">
        <v>34309.370000000003</v>
      </c>
      <c r="X1357" s="51">
        <v>75398.600000000006</v>
      </c>
      <c r="Y1357" s="19" t="s">
        <v>4292</v>
      </c>
      <c r="Z1357" s="19"/>
      <c r="AA1357" s="28"/>
      <c r="AB1357" s="56"/>
      <c r="AC1357" s="28"/>
      <c r="AD1357" s="28"/>
      <c r="AE1357" s="54"/>
      <c r="AF1357" s="54"/>
      <c r="AG1357" s="54"/>
      <c r="AH1357" s="53"/>
      <c r="AI1357" s="53" t="s">
        <v>1591</v>
      </c>
      <c r="AJ1357" s="53" t="s">
        <v>1591</v>
      </c>
    </row>
    <row r="1358" spans="1:36" s="3" customFormat="1" ht="168" x14ac:dyDescent="0.25">
      <c r="A1358" s="17" t="s">
        <v>2042</v>
      </c>
      <c r="B1358" s="18" t="s">
        <v>37</v>
      </c>
      <c r="C1358" s="76"/>
      <c r="D1358" s="77" t="s">
        <v>6667</v>
      </c>
      <c r="E1358" s="78"/>
      <c r="F1358" s="79"/>
      <c r="G1358" s="80"/>
      <c r="H1358" s="80"/>
      <c r="I1358" s="78" t="s">
        <v>6476</v>
      </c>
      <c r="J1358" s="79" t="s">
        <v>6668</v>
      </c>
      <c r="K1358" s="81"/>
      <c r="L1358" s="82"/>
      <c r="M1358" s="83"/>
      <c r="N1358" s="80">
        <v>1503831</v>
      </c>
      <c r="O1358" s="82"/>
      <c r="P1358" s="84"/>
      <c r="Q1358" s="80"/>
      <c r="R1358" s="80">
        <v>1503831</v>
      </c>
      <c r="S1358" s="80"/>
      <c r="T1358" s="81"/>
      <c r="U1358" s="80"/>
      <c r="V1358" s="80"/>
      <c r="W1358" s="80"/>
      <c r="X1358" s="80">
        <v>74590.2</v>
      </c>
      <c r="Y1358" s="76" t="s">
        <v>575</v>
      </c>
      <c r="Z1358" s="19" t="s">
        <v>7038</v>
      </c>
      <c r="AA1358" s="28" t="s">
        <v>8097</v>
      </c>
      <c r="AB1358" s="56">
        <v>43417</v>
      </c>
      <c r="AC1358" s="28" t="s">
        <v>8098</v>
      </c>
      <c r="AD1358" s="28" t="s">
        <v>8099</v>
      </c>
      <c r="AE1358" s="54" t="s">
        <v>8100</v>
      </c>
      <c r="AF1358" s="54"/>
      <c r="AG1358" s="54" t="s">
        <v>8101</v>
      </c>
      <c r="AH1358" s="53" t="s">
        <v>1591</v>
      </c>
      <c r="AI1358" s="53" t="s">
        <v>2686</v>
      </c>
      <c r="AJ1358" s="53" t="s">
        <v>1591</v>
      </c>
    </row>
    <row r="1359" spans="1:36" s="3" customFormat="1" ht="72" x14ac:dyDescent="0.25">
      <c r="A1359" s="35" t="s">
        <v>2042</v>
      </c>
      <c r="B1359" s="18" t="s">
        <v>37</v>
      </c>
      <c r="C1359" s="19" t="s">
        <v>673</v>
      </c>
      <c r="D1359" s="43" t="s">
        <v>4081</v>
      </c>
      <c r="E1359" s="50"/>
      <c r="F1359" s="36"/>
      <c r="G1359" s="51"/>
      <c r="H1359" s="51"/>
      <c r="I1359" s="36" t="s">
        <v>3873</v>
      </c>
      <c r="J1359" s="34" t="s">
        <v>4229</v>
      </c>
      <c r="K1359" s="37"/>
      <c r="L1359" s="38"/>
      <c r="M1359" s="39"/>
      <c r="N1359" s="42"/>
      <c r="O1359" s="74"/>
      <c r="P1359" s="39"/>
      <c r="Q1359" s="41"/>
      <c r="R1359" s="51">
        <f>N1359+Q1359</f>
        <v>0</v>
      </c>
      <c r="S1359" s="51"/>
      <c r="T1359" s="52" t="s">
        <v>211</v>
      </c>
      <c r="U1359" s="51">
        <v>13217.7</v>
      </c>
      <c r="V1359" s="51">
        <v>13217.7</v>
      </c>
      <c r="W1359" s="42">
        <v>13217.7</v>
      </c>
      <c r="X1359" s="42">
        <v>13217.7</v>
      </c>
      <c r="Y1359" s="34" t="s">
        <v>142</v>
      </c>
      <c r="Z1359" s="19" t="s">
        <v>4307</v>
      </c>
      <c r="AA1359" s="28" t="s">
        <v>8097</v>
      </c>
      <c r="AB1359" s="56">
        <v>43417</v>
      </c>
      <c r="AC1359" s="28" t="s">
        <v>8098</v>
      </c>
      <c r="AD1359" s="28" t="s">
        <v>8099</v>
      </c>
      <c r="AE1359" s="54" t="s">
        <v>8103</v>
      </c>
      <c r="AF1359" s="54"/>
      <c r="AG1359" s="54" t="s">
        <v>7099</v>
      </c>
      <c r="AH1359" s="53" t="s">
        <v>1591</v>
      </c>
      <c r="AI1359" s="53" t="s">
        <v>2686</v>
      </c>
      <c r="AJ1359" s="53" t="s">
        <v>1591</v>
      </c>
    </row>
    <row r="1360" spans="1:36" s="3" customFormat="1" ht="48" x14ac:dyDescent="0.25">
      <c r="A1360" s="17" t="s">
        <v>2042</v>
      </c>
      <c r="B1360" s="18" t="s">
        <v>37</v>
      </c>
      <c r="C1360" s="19" t="s">
        <v>4079</v>
      </c>
      <c r="D1360" s="45" t="s">
        <v>4080</v>
      </c>
      <c r="E1360" s="50"/>
      <c r="F1360" s="58"/>
      <c r="G1360" s="51"/>
      <c r="H1360" s="51"/>
      <c r="I1360" s="50" t="s">
        <v>1138</v>
      </c>
      <c r="J1360" s="58" t="s">
        <v>3772</v>
      </c>
      <c r="K1360" s="52"/>
      <c r="L1360" s="59"/>
      <c r="M1360" s="60"/>
      <c r="N1360" s="51"/>
      <c r="O1360" s="59"/>
      <c r="P1360" s="59"/>
      <c r="Q1360" s="51"/>
      <c r="R1360" s="51">
        <f>N1360+Q1360</f>
        <v>0</v>
      </c>
      <c r="S1360" s="51"/>
      <c r="T1360" s="52" t="s">
        <v>211</v>
      </c>
      <c r="U1360" s="51">
        <v>528631.47</v>
      </c>
      <c r="V1360" s="51">
        <v>528631.47</v>
      </c>
      <c r="W1360" s="51">
        <v>528631.47</v>
      </c>
      <c r="X1360" s="51">
        <v>528631.47</v>
      </c>
      <c r="Y1360" s="19" t="s">
        <v>142</v>
      </c>
      <c r="Z1360" s="19" t="s">
        <v>4307</v>
      </c>
      <c r="AA1360" s="28" t="s">
        <v>8097</v>
      </c>
      <c r="AB1360" s="56">
        <v>43417</v>
      </c>
      <c r="AC1360" s="28" t="s">
        <v>8098</v>
      </c>
      <c r="AD1360" s="28" t="s">
        <v>8099</v>
      </c>
      <c r="AE1360" s="54" t="s">
        <v>8102</v>
      </c>
      <c r="AF1360" s="54"/>
      <c r="AG1360" s="54" t="s">
        <v>7099</v>
      </c>
      <c r="AH1360" s="53"/>
      <c r="AI1360" s="53" t="s">
        <v>1591</v>
      </c>
      <c r="AJ1360" s="53" t="s">
        <v>1591</v>
      </c>
    </row>
    <row r="1361" spans="1:36" s="3" customFormat="1" ht="60" x14ac:dyDescent="0.25">
      <c r="A1361" s="17" t="s">
        <v>2043</v>
      </c>
      <c r="B1361" s="18" t="s">
        <v>37</v>
      </c>
      <c r="C1361" s="76" t="s">
        <v>993</v>
      </c>
      <c r="D1361" s="45" t="s">
        <v>6669</v>
      </c>
      <c r="E1361" s="78"/>
      <c r="F1361" s="79"/>
      <c r="G1361" s="80"/>
      <c r="H1361" s="80"/>
      <c r="I1361" s="78" t="s">
        <v>6670</v>
      </c>
      <c r="J1361" s="79" t="s">
        <v>6671</v>
      </c>
      <c r="K1361" s="81" t="s">
        <v>6672</v>
      </c>
      <c r="L1361" s="82">
        <v>40935</v>
      </c>
      <c r="M1361" s="83">
        <v>41115</v>
      </c>
      <c r="N1361" s="80">
        <v>975472.92</v>
      </c>
      <c r="O1361" s="82">
        <v>41117</v>
      </c>
      <c r="P1361" s="84"/>
      <c r="Q1361" s="80">
        <v>0</v>
      </c>
      <c r="R1361" s="80">
        <v>975472.92</v>
      </c>
      <c r="S1361" s="80"/>
      <c r="T1361" s="81" t="s">
        <v>211</v>
      </c>
      <c r="U1361" s="80"/>
      <c r="V1361" s="80"/>
      <c r="W1361" s="80"/>
      <c r="X1361" s="80">
        <v>761440.5</v>
      </c>
      <c r="Y1361" s="76" t="s">
        <v>33</v>
      </c>
      <c r="Z1361" s="19" t="s">
        <v>7038</v>
      </c>
      <c r="AA1361" s="28"/>
      <c r="AB1361" s="56"/>
      <c r="AC1361" s="28"/>
      <c r="AD1361" s="28"/>
      <c r="AE1361" s="54"/>
      <c r="AF1361" s="54"/>
      <c r="AG1361" s="54"/>
      <c r="AH1361" s="53"/>
      <c r="AI1361" s="53" t="s">
        <v>1591</v>
      </c>
      <c r="AJ1361" s="53" t="s">
        <v>1591</v>
      </c>
    </row>
    <row r="1362" spans="1:36" s="3" customFormat="1" ht="36" x14ac:dyDescent="0.25">
      <c r="A1362" s="17" t="s">
        <v>2043</v>
      </c>
      <c r="B1362" s="18" t="s">
        <v>37</v>
      </c>
      <c r="C1362" s="76" t="s">
        <v>6675</v>
      </c>
      <c r="D1362" s="45" t="s">
        <v>6676</v>
      </c>
      <c r="E1362" s="78"/>
      <c r="F1362" s="79"/>
      <c r="G1362" s="80"/>
      <c r="H1362" s="80"/>
      <c r="I1362" s="78" t="s">
        <v>6677</v>
      </c>
      <c r="J1362" s="79" t="s">
        <v>6678</v>
      </c>
      <c r="K1362" s="81" t="s">
        <v>6679</v>
      </c>
      <c r="L1362" s="82">
        <v>40351</v>
      </c>
      <c r="M1362" s="83">
        <v>40441</v>
      </c>
      <c r="N1362" s="80">
        <v>160370.32</v>
      </c>
      <c r="O1362" s="82">
        <v>40443</v>
      </c>
      <c r="P1362" s="84" t="s">
        <v>6680</v>
      </c>
      <c r="Q1362" s="80">
        <v>0</v>
      </c>
      <c r="R1362" s="80">
        <v>160370.32</v>
      </c>
      <c r="S1362" s="80"/>
      <c r="T1362" s="81" t="s">
        <v>211</v>
      </c>
      <c r="U1362" s="80"/>
      <c r="V1362" s="80"/>
      <c r="W1362" s="80"/>
      <c r="X1362" s="80">
        <v>55017.18</v>
      </c>
      <c r="Y1362" s="76" t="s">
        <v>33</v>
      </c>
      <c r="Z1362" s="19" t="s">
        <v>7038</v>
      </c>
      <c r="AA1362" s="28"/>
      <c r="AB1362" s="56"/>
      <c r="AC1362" s="28"/>
      <c r="AD1362" s="28"/>
      <c r="AE1362" s="54"/>
      <c r="AF1362" s="54"/>
      <c r="AG1362" s="54"/>
      <c r="AH1362" s="53"/>
      <c r="AI1362" s="53" t="s">
        <v>1591</v>
      </c>
      <c r="AJ1362" s="53" t="s">
        <v>1591</v>
      </c>
    </row>
    <row r="1363" spans="1:36" s="3" customFormat="1" ht="36" x14ac:dyDescent="0.25">
      <c r="A1363" s="17" t="s">
        <v>2043</v>
      </c>
      <c r="B1363" s="18" t="s">
        <v>37</v>
      </c>
      <c r="C1363" s="76" t="s">
        <v>6681</v>
      </c>
      <c r="D1363" s="45" t="s">
        <v>6682</v>
      </c>
      <c r="E1363" s="78"/>
      <c r="F1363" s="79"/>
      <c r="G1363" s="80"/>
      <c r="H1363" s="80"/>
      <c r="I1363" s="78" t="s">
        <v>6670</v>
      </c>
      <c r="J1363" s="79" t="s">
        <v>6671</v>
      </c>
      <c r="K1363" s="81" t="s">
        <v>1396</v>
      </c>
      <c r="L1363" s="82">
        <v>41059</v>
      </c>
      <c r="M1363" s="83">
        <v>41149</v>
      </c>
      <c r="N1363" s="80">
        <v>145903.20000000001</v>
      </c>
      <c r="O1363" s="82">
        <v>41151</v>
      </c>
      <c r="P1363" s="84"/>
      <c r="Q1363" s="80">
        <v>12701.059999999998</v>
      </c>
      <c r="R1363" s="80">
        <v>158604.26</v>
      </c>
      <c r="S1363" s="80"/>
      <c r="T1363" s="81" t="s">
        <v>211</v>
      </c>
      <c r="U1363" s="80"/>
      <c r="V1363" s="80"/>
      <c r="W1363" s="80"/>
      <c r="X1363" s="80">
        <v>96501.67</v>
      </c>
      <c r="Y1363" s="76" t="s">
        <v>33</v>
      </c>
      <c r="Z1363" s="19" t="s">
        <v>7038</v>
      </c>
      <c r="AA1363" s="28"/>
      <c r="AB1363" s="56"/>
      <c r="AC1363" s="28"/>
      <c r="AD1363" s="28"/>
      <c r="AE1363" s="54"/>
      <c r="AF1363" s="54"/>
      <c r="AG1363" s="54"/>
      <c r="AH1363" s="53"/>
      <c r="AI1363" s="53" t="s">
        <v>1591</v>
      </c>
      <c r="AJ1363" s="53" t="s">
        <v>1591</v>
      </c>
    </row>
    <row r="1364" spans="1:36" s="3" customFormat="1" ht="72" x14ac:dyDescent="0.25">
      <c r="A1364" s="35" t="s">
        <v>2043</v>
      </c>
      <c r="B1364" s="18" t="s">
        <v>37</v>
      </c>
      <c r="C1364" s="76"/>
      <c r="D1364" s="43" t="s">
        <v>6683</v>
      </c>
      <c r="E1364" s="78"/>
      <c r="F1364" s="36"/>
      <c r="G1364" s="80"/>
      <c r="H1364" s="80"/>
      <c r="I1364" s="36" t="s">
        <v>1050</v>
      </c>
      <c r="J1364" s="34" t="s">
        <v>6673</v>
      </c>
      <c r="K1364" s="37" t="s">
        <v>1882</v>
      </c>
      <c r="L1364" s="38">
        <v>41843</v>
      </c>
      <c r="M1364" s="39">
        <v>42023</v>
      </c>
      <c r="N1364" s="42">
        <v>145712.56</v>
      </c>
      <c r="O1364" s="85" t="s">
        <v>6684</v>
      </c>
      <c r="P1364" s="86">
        <v>42023</v>
      </c>
      <c r="Q1364" s="41"/>
      <c r="R1364" s="41">
        <v>145712.56</v>
      </c>
      <c r="S1364" s="80"/>
      <c r="T1364" s="81"/>
      <c r="U1364" s="80"/>
      <c r="V1364" s="80"/>
      <c r="W1364" s="42"/>
      <c r="X1364" s="42"/>
      <c r="Y1364" s="34" t="s">
        <v>4321</v>
      </c>
      <c r="Z1364" s="19" t="s">
        <v>7038</v>
      </c>
      <c r="AA1364" s="28" t="s">
        <v>8104</v>
      </c>
      <c r="AB1364" s="56">
        <v>43426</v>
      </c>
      <c r="AC1364" s="28" t="s">
        <v>8105</v>
      </c>
      <c r="AD1364" s="28" t="s">
        <v>8106</v>
      </c>
      <c r="AE1364" s="54" t="s">
        <v>8107</v>
      </c>
      <c r="AF1364" s="54"/>
      <c r="AG1364" s="54" t="s">
        <v>542</v>
      </c>
      <c r="AH1364" s="53" t="s">
        <v>1591</v>
      </c>
      <c r="AI1364" s="53" t="s">
        <v>2686</v>
      </c>
      <c r="AJ1364" s="53" t="s">
        <v>1591</v>
      </c>
    </row>
    <row r="1365" spans="1:36" s="3" customFormat="1" ht="36" x14ac:dyDescent="0.25">
      <c r="A1365" s="17" t="s">
        <v>2043</v>
      </c>
      <c r="B1365" s="18" t="s">
        <v>37</v>
      </c>
      <c r="C1365" s="76" t="s">
        <v>6685</v>
      </c>
      <c r="D1365" s="45" t="s">
        <v>6686</v>
      </c>
      <c r="E1365" s="78"/>
      <c r="F1365" s="79"/>
      <c r="G1365" s="80"/>
      <c r="H1365" s="80"/>
      <c r="I1365" s="78" t="s">
        <v>6687</v>
      </c>
      <c r="J1365" s="79" t="s">
        <v>6688</v>
      </c>
      <c r="K1365" s="81" t="s">
        <v>1056</v>
      </c>
      <c r="L1365" s="82">
        <v>41358</v>
      </c>
      <c r="M1365" s="83">
        <v>41688</v>
      </c>
      <c r="N1365" s="80">
        <v>144738.5</v>
      </c>
      <c r="O1365" s="82">
        <v>41695</v>
      </c>
      <c r="P1365" s="84"/>
      <c r="Q1365" s="80">
        <v>0</v>
      </c>
      <c r="R1365" s="80">
        <v>144738.5</v>
      </c>
      <c r="S1365" s="80"/>
      <c r="T1365" s="81" t="s">
        <v>211</v>
      </c>
      <c r="U1365" s="80"/>
      <c r="V1365" s="80"/>
      <c r="W1365" s="80"/>
      <c r="X1365" s="80">
        <v>129266.86</v>
      </c>
      <c r="Y1365" s="76" t="s">
        <v>33</v>
      </c>
      <c r="Z1365" s="19" t="s">
        <v>7038</v>
      </c>
      <c r="AA1365" s="28"/>
      <c r="AB1365" s="56"/>
      <c r="AC1365" s="28"/>
      <c r="AD1365" s="28"/>
      <c r="AE1365" s="54"/>
      <c r="AF1365" s="54"/>
      <c r="AG1365" s="54"/>
      <c r="AH1365" s="53"/>
      <c r="AI1365" s="53" t="s">
        <v>1591</v>
      </c>
      <c r="AJ1365" s="53" t="s">
        <v>1591</v>
      </c>
    </row>
    <row r="1366" spans="1:36" s="3" customFormat="1" ht="36" x14ac:dyDescent="0.25">
      <c r="A1366" s="17" t="s">
        <v>2043</v>
      </c>
      <c r="B1366" s="18" t="s">
        <v>37</v>
      </c>
      <c r="C1366" s="76" t="s">
        <v>6689</v>
      </c>
      <c r="D1366" s="45" t="s">
        <v>6690</v>
      </c>
      <c r="E1366" s="78"/>
      <c r="F1366" s="79"/>
      <c r="G1366" s="80"/>
      <c r="H1366" s="80"/>
      <c r="I1366" s="78" t="s">
        <v>6691</v>
      </c>
      <c r="J1366" s="79" t="s">
        <v>6692</v>
      </c>
      <c r="K1366" s="81" t="s">
        <v>5027</v>
      </c>
      <c r="L1366" s="82">
        <v>41543</v>
      </c>
      <c r="M1366" s="83">
        <v>41633</v>
      </c>
      <c r="N1366" s="80">
        <v>144419.59</v>
      </c>
      <c r="O1366" s="82">
        <v>41634</v>
      </c>
      <c r="P1366" s="84"/>
      <c r="Q1366" s="80">
        <v>0</v>
      </c>
      <c r="R1366" s="80">
        <v>144419.59</v>
      </c>
      <c r="S1366" s="80"/>
      <c r="T1366" s="81" t="s">
        <v>211</v>
      </c>
      <c r="U1366" s="80"/>
      <c r="V1366" s="80"/>
      <c r="W1366" s="80"/>
      <c r="X1366" s="80">
        <v>18912.89</v>
      </c>
      <c r="Y1366" s="76" t="s">
        <v>33</v>
      </c>
      <c r="Z1366" s="19" t="s">
        <v>7038</v>
      </c>
      <c r="AA1366" s="28"/>
      <c r="AB1366" s="56"/>
      <c r="AC1366" s="28"/>
      <c r="AD1366" s="28"/>
      <c r="AE1366" s="54"/>
      <c r="AF1366" s="54"/>
      <c r="AG1366" s="54"/>
      <c r="AH1366" s="53"/>
      <c r="AI1366" s="53" t="s">
        <v>1591</v>
      </c>
      <c r="AJ1366" s="53" t="s">
        <v>1591</v>
      </c>
    </row>
    <row r="1367" spans="1:36" s="3" customFormat="1" ht="48" x14ac:dyDescent="0.25">
      <c r="A1367" s="35" t="s">
        <v>2043</v>
      </c>
      <c r="B1367" s="18" t="s">
        <v>37</v>
      </c>
      <c r="C1367" s="76"/>
      <c r="D1367" s="43" t="s">
        <v>6693</v>
      </c>
      <c r="E1367" s="78"/>
      <c r="F1367" s="36"/>
      <c r="G1367" s="80"/>
      <c r="H1367" s="80"/>
      <c r="I1367" s="36" t="s">
        <v>6687</v>
      </c>
      <c r="J1367" s="34" t="s">
        <v>6688</v>
      </c>
      <c r="K1367" s="37" t="s">
        <v>6694</v>
      </c>
      <c r="L1367" s="38" t="s">
        <v>6695</v>
      </c>
      <c r="M1367" s="39">
        <v>41639</v>
      </c>
      <c r="N1367" s="42">
        <v>144265.01999999999</v>
      </c>
      <c r="O1367" s="85" t="s">
        <v>6696</v>
      </c>
      <c r="P1367" s="86">
        <v>41639</v>
      </c>
      <c r="Q1367" s="41"/>
      <c r="R1367" s="41">
        <v>144265.01999999999</v>
      </c>
      <c r="S1367" s="80"/>
      <c r="T1367" s="81"/>
      <c r="U1367" s="80"/>
      <c r="V1367" s="80"/>
      <c r="W1367" s="42"/>
      <c r="X1367" s="42">
        <v>49349.54</v>
      </c>
      <c r="Y1367" s="34" t="s">
        <v>4321</v>
      </c>
      <c r="Z1367" s="19" t="s">
        <v>7038</v>
      </c>
      <c r="AA1367" s="28" t="s">
        <v>8104</v>
      </c>
      <c r="AB1367" s="56">
        <v>43426</v>
      </c>
      <c r="AC1367" s="28" t="s">
        <v>8105</v>
      </c>
      <c r="AD1367" s="28" t="s">
        <v>8106</v>
      </c>
      <c r="AE1367" s="54" t="s">
        <v>8108</v>
      </c>
      <c r="AF1367" s="54"/>
      <c r="AG1367" s="54" t="s">
        <v>149</v>
      </c>
      <c r="AH1367" s="53" t="s">
        <v>1591</v>
      </c>
      <c r="AI1367" s="53" t="s">
        <v>2686</v>
      </c>
      <c r="AJ1367" s="53" t="s">
        <v>1591</v>
      </c>
    </row>
    <row r="1368" spans="1:36" s="3" customFormat="1" ht="36" x14ac:dyDescent="0.25">
      <c r="A1368" s="17" t="s">
        <v>2043</v>
      </c>
      <c r="B1368" s="18" t="s">
        <v>37</v>
      </c>
      <c r="C1368" s="76" t="s">
        <v>6697</v>
      </c>
      <c r="D1368" s="45" t="s">
        <v>6698</v>
      </c>
      <c r="E1368" s="78"/>
      <c r="F1368" s="79"/>
      <c r="G1368" s="80"/>
      <c r="H1368" s="80"/>
      <c r="I1368" s="78" t="s">
        <v>6670</v>
      </c>
      <c r="J1368" s="79" t="s">
        <v>6671</v>
      </c>
      <c r="K1368" s="81" t="s">
        <v>6184</v>
      </c>
      <c r="L1368" s="82">
        <v>41060</v>
      </c>
      <c r="M1368" s="83">
        <v>41120</v>
      </c>
      <c r="N1368" s="80">
        <v>142380.48000000001</v>
      </c>
      <c r="O1368" s="82">
        <v>41121</v>
      </c>
      <c r="P1368" s="84"/>
      <c r="Q1368" s="80">
        <v>0</v>
      </c>
      <c r="R1368" s="80">
        <v>142380.48000000001</v>
      </c>
      <c r="S1368" s="80"/>
      <c r="T1368" s="81" t="s">
        <v>211</v>
      </c>
      <c r="U1368" s="80"/>
      <c r="V1368" s="80"/>
      <c r="W1368" s="80"/>
      <c r="X1368" s="80">
        <v>71190.240000000005</v>
      </c>
      <c r="Y1368" s="76" t="s">
        <v>33</v>
      </c>
      <c r="Z1368" s="19" t="s">
        <v>7038</v>
      </c>
      <c r="AA1368" s="28"/>
      <c r="AB1368" s="56"/>
      <c r="AC1368" s="28"/>
      <c r="AD1368" s="28"/>
      <c r="AE1368" s="54"/>
      <c r="AF1368" s="54"/>
      <c r="AG1368" s="54"/>
      <c r="AH1368" s="53"/>
      <c r="AI1368" s="53" t="s">
        <v>1591</v>
      </c>
      <c r="AJ1368" s="53" t="s">
        <v>1591</v>
      </c>
    </row>
    <row r="1369" spans="1:36" s="3" customFormat="1" ht="36" x14ac:dyDescent="0.25">
      <c r="A1369" s="17" t="s">
        <v>2043</v>
      </c>
      <c r="B1369" s="18" t="s">
        <v>37</v>
      </c>
      <c r="C1369" s="76" t="s">
        <v>6699</v>
      </c>
      <c r="D1369" s="45" t="s">
        <v>6700</v>
      </c>
      <c r="E1369" s="78"/>
      <c r="F1369" s="79"/>
      <c r="G1369" s="80"/>
      <c r="H1369" s="80"/>
      <c r="I1369" s="78" t="s">
        <v>6674</v>
      </c>
      <c r="J1369" s="79" t="s">
        <v>6671</v>
      </c>
      <c r="K1369" s="81" t="s">
        <v>4426</v>
      </c>
      <c r="L1369" s="82">
        <v>41541</v>
      </c>
      <c r="M1369" s="83">
        <v>41631</v>
      </c>
      <c r="N1369" s="80">
        <v>121452</v>
      </c>
      <c r="O1369" s="82">
        <v>41632</v>
      </c>
      <c r="P1369" s="84"/>
      <c r="Q1369" s="80">
        <v>0</v>
      </c>
      <c r="R1369" s="80">
        <v>121452</v>
      </c>
      <c r="S1369" s="80"/>
      <c r="T1369" s="81" t="s">
        <v>211</v>
      </c>
      <c r="U1369" s="80"/>
      <c r="V1369" s="80"/>
      <c r="W1369" s="80"/>
      <c r="X1369" s="80">
        <v>107970.7</v>
      </c>
      <c r="Y1369" s="76" t="s">
        <v>33</v>
      </c>
      <c r="Z1369" s="19" t="s">
        <v>7038</v>
      </c>
      <c r="AA1369" s="28"/>
      <c r="AB1369" s="56"/>
      <c r="AC1369" s="28"/>
      <c r="AD1369" s="28"/>
      <c r="AE1369" s="54"/>
      <c r="AF1369" s="54"/>
      <c r="AG1369" s="54"/>
      <c r="AH1369" s="53"/>
      <c r="AI1369" s="53" t="s">
        <v>1591</v>
      </c>
      <c r="AJ1369" s="53" t="s">
        <v>1591</v>
      </c>
    </row>
    <row r="1370" spans="1:36" s="3" customFormat="1" ht="48" x14ac:dyDescent="0.25">
      <c r="A1370" s="17" t="s">
        <v>2043</v>
      </c>
      <c r="B1370" s="18" t="s">
        <v>37</v>
      </c>
      <c r="C1370" s="76" t="s">
        <v>6701</v>
      </c>
      <c r="D1370" s="45" t="s">
        <v>6702</v>
      </c>
      <c r="E1370" s="78"/>
      <c r="F1370" s="79"/>
      <c r="G1370" s="80"/>
      <c r="H1370" s="80"/>
      <c r="I1370" s="78" t="s">
        <v>6703</v>
      </c>
      <c r="J1370" s="79" t="s">
        <v>6704</v>
      </c>
      <c r="K1370" s="81" t="s">
        <v>969</v>
      </c>
      <c r="L1370" s="82">
        <v>41611</v>
      </c>
      <c r="M1370" s="83">
        <v>41671</v>
      </c>
      <c r="N1370" s="80">
        <v>103432</v>
      </c>
      <c r="O1370" s="82">
        <v>41673</v>
      </c>
      <c r="P1370" s="84"/>
      <c r="Q1370" s="80">
        <v>0</v>
      </c>
      <c r="R1370" s="80">
        <v>103432</v>
      </c>
      <c r="S1370" s="80"/>
      <c r="T1370" s="81" t="s">
        <v>211</v>
      </c>
      <c r="U1370" s="80"/>
      <c r="V1370" s="80"/>
      <c r="W1370" s="80"/>
      <c r="X1370" s="80">
        <v>51716</v>
      </c>
      <c r="Y1370" s="76" t="s">
        <v>33</v>
      </c>
      <c r="Z1370" s="19" t="s">
        <v>7038</v>
      </c>
      <c r="AA1370" s="28"/>
      <c r="AB1370" s="56"/>
      <c r="AC1370" s="28"/>
      <c r="AD1370" s="28"/>
      <c r="AE1370" s="54"/>
      <c r="AF1370" s="54"/>
      <c r="AG1370" s="54"/>
      <c r="AH1370" s="53"/>
      <c r="AI1370" s="53" t="s">
        <v>1591</v>
      </c>
      <c r="AJ1370" s="53" t="s">
        <v>1591</v>
      </c>
    </row>
    <row r="1371" spans="1:36" s="3" customFormat="1" ht="60" x14ac:dyDescent="0.25">
      <c r="A1371" s="35" t="s">
        <v>2043</v>
      </c>
      <c r="B1371" s="18" t="s">
        <v>37</v>
      </c>
      <c r="C1371" s="76"/>
      <c r="D1371" s="43" t="s">
        <v>6705</v>
      </c>
      <c r="E1371" s="78"/>
      <c r="F1371" s="36"/>
      <c r="G1371" s="80"/>
      <c r="H1371" s="80"/>
      <c r="I1371" s="36" t="s">
        <v>6706</v>
      </c>
      <c r="J1371" s="34" t="s">
        <v>6707</v>
      </c>
      <c r="K1371" s="37" t="s">
        <v>6708</v>
      </c>
      <c r="L1371" s="38" t="s">
        <v>6709</v>
      </c>
      <c r="M1371" s="39">
        <v>40594</v>
      </c>
      <c r="N1371" s="42">
        <v>92170.3</v>
      </c>
      <c r="O1371" s="85" t="s">
        <v>6710</v>
      </c>
      <c r="P1371" s="86">
        <v>40594</v>
      </c>
      <c r="Q1371" s="41"/>
      <c r="R1371" s="41">
        <v>92170.3</v>
      </c>
      <c r="S1371" s="80"/>
      <c r="T1371" s="81"/>
      <c r="U1371" s="80"/>
      <c r="V1371" s="80"/>
      <c r="W1371" s="42"/>
      <c r="X1371" s="42">
        <v>78401.7</v>
      </c>
      <c r="Y1371" s="34" t="s">
        <v>4321</v>
      </c>
      <c r="Z1371" s="19" t="s">
        <v>7038</v>
      </c>
      <c r="AA1371" s="28" t="s">
        <v>8104</v>
      </c>
      <c r="AB1371" s="56">
        <v>43426</v>
      </c>
      <c r="AC1371" s="28" t="s">
        <v>8105</v>
      </c>
      <c r="AD1371" s="28" t="s">
        <v>8106</v>
      </c>
      <c r="AE1371" s="54" t="s">
        <v>8109</v>
      </c>
      <c r="AF1371" s="54"/>
      <c r="AG1371" s="54" t="s">
        <v>542</v>
      </c>
      <c r="AH1371" s="53" t="s">
        <v>1591</v>
      </c>
      <c r="AI1371" s="53" t="s">
        <v>2686</v>
      </c>
      <c r="AJ1371" s="53" t="s">
        <v>1591</v>
      </c>
    </row>
    <row r="1372" spans="1:36" s="3" customFormat="1" ht="36" x14ac:dyDescent="0.25">
      <c r="A1372" s="17" t="s">
        <v>2043</v>
      </c>
      <c r="B1372" s="18" t="s">
        <v>37</v>
      </c>
      <c r="C1372" s="76" t="s">
        <v>6711</v>
      </c>
      <c r="D1372" s="45" t="s">
        <v>6712</v>
      </c>
      <c r="E1372" s="78"/>
      <c r="F1372" s="79"/>
      <c r="G1372" s="80"/>
      <c r="H1372" s="80"/>
      <c r="I1372" s="78" t="s">
        <v>6713</v>
      </c>
      <c r="J1372" s="79" t="s">
        <v>6714</v>
      </c>
      <c r="K1372" s="81" t="s">
        <v>6715</v>
      </c>
      <c r="L1372" s="82">
        <v>40210</v>
      </c>
      <c r="M1372" s="83">
        <v>40240</v>
      </c>
      <c r="N1372" s="80">
        <v>88891.94</v>
      </c>
      <c r="O1372" s="82">
        <v>40238</v>
      </c>
      <c r="P1372" s="84"/>
      <c r="Q1372" s="80">
        <v>0</v>
      </c>
      <c r="R1372" s="80">
        <v>88891.94</v>
      </c>
      <c r="S1372" s="80"/>
      <c r="T1372" s="81" t="s">
        <v>211</v>
      </c>
      <c r="U1372" s="80"/>
      <c r="V1372" s="80"/>
      <c r="W1372" s="80"/>
      <c r="X1372" s="80">
        <v>42229.65</v>
      </c>
      <c r="Y1372" s="76" t="s">
        <v>33</v>
      </c>
      <c r="Z1372" s="19" t="s">
        <v>7038</v>
      </c>
      <c r="AA1372" s="28"/>
      <c r="AB1372" s="56"/>
      <c r="AC1372" s="28"/>
      <c r="AD1372" s="28"/>
      <c r="AE1372" s="54"/>
      <c r="AF1372" s="54"/>
      <c r="AG1372" s="54"/>
      <c r="AH1372" s="53"/>
      <c r="AI1372" s="53" t="s">
        <v>1591</v>
      </c>
      <c r="AJ1372" s="53" t="s">
        <v>1591</v>
      </c>
    </row>
    <row r="1373" spans="1:36" s="3" customFormat="1" ht="36" x14ac:dyDescent="0.25">
      <c r="A1373" s="17" t="s">
        <v>2043</v>
      </c>
      <c r="B1373" s="18" t="s">
        <v>37</v>
      </c>
      <c r="C1373" s="76" t="s">
        <v>6716</v>
      </c>
      <c r="D1373" s="45" t="s">
        <v>6717</v>
      </c>
      <c r="E1373" s="78"/>
      <c r="F1373" s="79"/>
      <c r="G1373" s="80"/>
      <c r="H1373" s="80"/>
      <c r="I1373" s="78" t="s">
        <v>6713</v>
      </c>
      <c r="J1373" s="79" t="s">
        <v>6714</v>
      </c>
      <c r="K1373" s="81" t="s">
        <v>6718</v>
      </c>
      <c r="L1373" s="82">
        <v>40660</v>
      </c>
      <c r="M1373" s="83">
        <v>40900</v>
      </c>
      <c r="N1373" s="80">
        <v>78553.240000000005</v>
      </c>
      <c r="O1373" s="82">
        <v>40904</v>
      </c>
      <c r="P1373" s="84"/>
      <c r="Q1373" s="80">
        <v>0</v>
      </c>
      <c r="R1373" s="80">
        <v>78553.240000000005</v>
      </c>
      <c r="S1373" s="80"/>
      <c r="T1373" s="81" t="s">
        <v>211</v>
      </c>
      <c r="U1373" s="80"/>
      <c r="V1373" s="80"/>
      <c r="W1373" s="80"/>
      <c r="X1373" s="80">
        <v>64858.44</v>
      </c>
      <c r="Y1373" s="76" t="s">
        <v>33</v>
      </c>
      <c r="Z1373" s="19" t="s">
        <v>7038</v>
      </c>
      <c r="AA1373" s="28"/>
      <c r="AB1373" s="56"/>
      <c r="AC1373" s="28"/>
      <c r="AD1373" s="28"/>
      <c r="AE1373" s="54"/>
      <c r="AF1373" s="54"/>
      <c r="AG1373" s="54"/>
      <c r="AH1373" s="53"/>
      <c r="AI1373" s="53" t="s">
        <v>1591</v>
      </c>
      <c r="AJ1373" s="53" t="s">
        <v>1591</v>
      </c>
    </row>
    <row r="1374" spans="1:36" s="3" customFormat="1" ht="36" x14ac:dyDescent="0.25">
      <c r="A1374" s="17" t="s">
        <v>2043</v>
      </c>
      <c r="B1374" s="18" t="s">
        <v>37</v>
      </c>
      <c r="C1374" s="76" t="s">
        <v>6719</v>
      </c>
      <c r="D1374" s="45" t="s">
        <v>6720</v>
      </c>
      <c r="E1374" s="78"/>
      <c r="F1374" s="79"/>
      <c r="G1374" s="80"/>
      <c r="H1374" s="80"/>
      <c r="I1374" s="78" t="s">
        <v>1050</v>
      </c>
      <c r="J1374" s="79" t="s">
        <v>6673</v>
      </c>
      <c r="K1374" s="81" t="s">
        <v>1853</v>
      </c>
      <c r="L1374" s="82">
        <v>41800</v>
      </c>
      <c r="M1374" s="83">
        <v>41860</v>
      </c>
      <c r="N1374" s="80">
        <v>67217.53</v>
      </c>
      <c r="O1374" s="82" t="s">
        <v>6721</v>
      </c>
      <c r="P1374" s="84"/>
      <c r="Q1374" s="80">
        <v>0</v>
      </c>
      <c r="R1374" s="80">
        <v>67217.53</v>
      </c>
      <c r="S1374" s="80"/>
      <c r="T1374" s="81" t="s">
        <v>211</v>
      </c>
      <c r="U1374" s="80">
        <v>8097.08</v>
      </c>
      <c r="V1374" s="80"/>
      <c r="W1374" s="80"/>
      <c r="X1374" s="80">
        <v>8097.08</v>
      </c>
      <c r="Y1374" s="76" t="s">
        <v>33</v>
      </c>
      <c r="Z1374" s="19" t="s">
        <v>7038</v>
      </c>
      <c r="AA1374" s="28"/>
      <c r="AB1374" s="56"/>
      <c r="AC1374" s="28"/>
      <c r="AD1374" s="28"/>
      <c r="AE1374" s="54"/>
      <c r="AF1374" s="54"/>
      <c r="AG1374" s="54"/>
      <c r="AH1374" s="53"/>
      <c r="AI1374" s="53" t="s">
        <v>1591</v>
      </c>
      <c r="AJ1374" s="53" t="s">
        <v>1591</v>
      </c>
    </row>
    <row r="1375" spans="1:36" s="3" customFormat="1" ht="36" x14ac:dyDescent="0.25">
      <c r="A1375" s="17" t="s">
        <v>2043</v>
      </c>
      <c r="B1375" s="18" t="s">
        <v>37</v>
      </c>
      <c r="C1375" s="76" t="s">
        <v>6722</v>
      </c>
      <c r="D1375" s="45" t="s">
        <v>6723</v>
      </c>
      <c r="E1375" s="78"/>
      <c r="F1375" s="79"/>
      <c r="G1375" s="80"/>
      <c r="H1375" s="80"/>
      <c r="I1375" s="78" t="s">
        <v>6670</v>
      </c>
      <c r="J1375" s="79" t="s">
        <v>6671</v>
      </c>
      <c r="K1375" s="81" t="s">
        <v>6724</v>
      </c>
      <c r="L1375" s="82">
        <v>40882</v>
      </c>
      <c r="M1375" s="83">
        <v>40972</v>
      </c>
      <c r="N1375" s="80">
        <v>64256.92</v>
      </c>
      <c r="O1375" s="82">
        <v>40973</v>
      </c>
      <c r="P1375" s="84"/>
      <c r="Q1375" s="80">
        <v>0</v>
      </c>
      <c r="R1375" s="80">
        <v>64256.92</v>
      </c>
      <c r="S1375" s="80"/>
      <c r="T1375" s="81" t="s">
        <v>211</v>
      </c>
      <c r="U1375" s="80"/>
      <c r="V1375" s="80"/>
      <c r="W1375" s="80"/>
      <c r="X1375" s="80">
        <v>45225</v>
      </c>
      <c r="Y1375" s="76" t="s">
        <v>33</v>
      </c>
      <c r="Z1375" s="19" t="s">
        <v>7038</v>
      </c>
      <c r="AA1375" s="28"/>
      <c r="AB1375" s="56"/>
      <c r="AC1375" s="28"/>
      <c r="AD1375" s="28"/>
      <c r="AE1375" s="54"/>
      <c r="AF1375" s="54"/>
      <c r="AG1375" s="54"/>
      <c r="AH1375" s="53"/>
      <c r="AI1375" s="53" t="s">
        <v>1591</v>
      </c>
      <c r="AJ1375" s="53" t="s">
        <v>1591</v>
      </c>
    </row>
    <row r="1376" spans="1:36" s="3" customFormat="1" ht="36" x14ac:dyDescent="0.25">
      <c r="A1376" s="17" t="s">
        <v>2043</v>
      </c>
      <c r="B1376" s="18" t="s">
        <v>37</v>
      </c>
      <c r="C1376" s="76" t="s">
        <v>6725</v>
      </c>
      <c r="D1376" s="45" t="s">
        <v>6726</v>
      </c>
      <c r="E1376" s="78"/>
      <c r="F1376" s="79"/>
      <c r="G1376" s="80"/>
      <c r="H1376" s="80"/>
      <c r="I1376" s="78" t="s">
        <v>6727</v>
      </c>
      <c r="J1376" s="79" t="s">
        <v>6728</v>
      </c>
      <c r="K1376" s="81" t="s">
        <v>395</v>
      </c>
      <c r="L1376" s="82">
        <v>41676</v>
      </c>
      <c r="M1376" s="83">
        <v>41796</v>
      </c>
      <c r="N1376" s="80">
        <v>54450</v>
      </c>
      <c r="O1376" s="82">
        <v>41918</v>
      </c>
      <c r="P1376" s="84"/>
      <c r="Q1376" s="80">
        <v>0</v>
      </c>
      <c r="R1376" s="80">
        <v>54450</v>
      </c>
      <c r="S1376" s="80"/>
      <c r="T1376" s="81" t="s">
        <v>211</v>
      </c>
      <c r="U1376" s="80"/>
      <c r="V1376" s="80"/>
      <c r="W1376" s="80"/>
      <c r="X1376" s="80">
        <v>24630.29</v>
      </c>
      <c r="Y1376" s="76" t="s">
        <v>33</v>
      </c>
      <c r="Z1376" s="19" t="s">
        <v>7038</v>
      </c>
      <c r="AA1376" s="28"/>
      <c r="AB1376" s="56"/>
      <c r="AC1376" s="28"/>
      <c r="AD1376" s="28"/>
      <c r="AE1376" s="54"/>
      <c r="AF1376" s="54"/>
      <c r="AG1376" s="54"/>
      <c r="AH1376" s="53"/>
      <c r="AI1376" s="53" t="s">
        <v>1591</v>
      </c>
      <c r="AJ1376" s="53" t="s">
        <v>1591</v>
      </c>
    </row>
    <row r="1377" spans="1:36" s="3" customFormat="1" ht="36" x14ac:dyDescent="0.25">
      <c r="A1377" s="17" t="s">
        <v>2043</v>
      </c>
      <c r="B1377" s="18" t="s">
        <v>37</v>
      </c>
      <c r="C1377" s="76" t="s">
        <v>6729</v>
      </c>
      <c r="D1377" s="45" t="s">
        <v>6730</v>
      </c>
      <c r="E1377" s="78"/>
      <c r="F1377" s="79"/>
      <c r="G1377" s="80"/>
      <c r="H1377" s="80"/>
      <c r="I1377" s="78" t="s">
        <v>6674</v>
      </c>
      <c r="J1377" s="79" t="s">
        <v>6671</v>
      </c>
      <c r="K1377" s="81" t="s">
        <v>1055</v>
      </c>
      <c r="L1377" s="82">
        <v>41843</v>
      </c>
      <c r="M1377" s="83">
        <v>41993</v>
      </c>
      <c r="N1377" s="80">
        <v>49902.04</v>
      </c>
      <c r="O1377" s="82">
        <v>41996</v>
      </c>
      <c r="P1377" s="84"/>
      <c r="Q1377" s="80">
        <v>0</v>
      </c>
      <c r="R1377" s="80">
        <v>49902.04</v>
      </c>
      <c r="S1377" s="80"/>
      <c r="T1377" s="81" t="s">
        <v>211</v>
      </c>
      <c r="U1377" s="80"/>
      <c r="V1377" s="80"/>
      <c r="W1377" s="80"/>
      <c r="X1377" s="80">
        <v>29578.45</v>
      </c>
      <c r="Y1377" s="76" t="s">
        <v>33</v>
      </c>
      <c r="Z1377" s="19" t="s">
        <v>7038</v>
      </c>
      <c r="AA1377" s="28"/>
      <c r="AB1377" s="56"/>
      <c r="AC1377" s="28"/>
      <c r="AD1377" s="28"/>
      <c r="AE1377" s="54"/>
      <c r="AF1377" s="54"/>
      <c r="AG1377" s="54"/>
      <c r="AH1377" s="53"/>
      <c r="AI1377" s="53" t="s">
        <v>1591</v>
      </c>
      <c r="AJ1377" s="53" t="s">
        <v>1591</v>
      </c>
    </row>
    <row r="1378" spans="1:36" s="3" customFormat="1" ht="36" x14ac:dyDescent="0.25">
      <c r="A1378" s="17" t="s">
        <v>2043</v>
      </c>
      <c r="B1378" s="18" t="s">
        <v>37</v>
      </c>
      <c r="C1378" s="76" t="s">
        <v>6731</v>
      </c>
      <c r="D1378" s="45" t="s">
        <v>6732</v>
      </c>
      <c r="E1378" s="78"/>
      <c r="F1378" s="79"/>
      <c r="G1378" s="80"/>
      <c r="H1378" s="80"/>
      <c r="I1378" s="78" t="s">
        <v>6674</v>
      </c>
      <c r="J1378" s="79" t="s">
        <v>6671</v>
      </c>
      <c r="K1378" s="81" t="s">
        <v>401</v>
      </c>
      <c r="L1378" s="82">
        <v>41445</v>
      </c>
      <c r="M1378" s="83">
        <v>41505</v>
      </c>
      <c r="N1378" s="80">
        <v>24206.02</v>
      </c>
      <c r="O1378" s="82">
        <v>41506</v>
      </c>
      <c r="P1378" s="84"/>
      <c r="Q1378" s="80">
        <v>0</v>
      </c>
      <c r="R1378" s="80">
        <v>24206.02</v>
      </c>
      <c r="S1378" s="80"/>
      <c r="T1378" s="81" t="s">
        <v>211</v>
      </c>
      <c r="U1378" s="80"/>
      <c r="V1378" s="80"/>
      <c r="W1378" s="80"/>
      <c r="X1378" s="80">
        <v>20414.560000000001</v>
      </c>
      <c r="Y1378" s="76" t="s">
        <v>33</v>
      </c>
      <c r="Z1378" s="19" t="s">
        <v>7038</v>
      </c>
      <c r="AA1378" s="28"/>
      <c r="AB1378" s="56"/>
      <c r="AC1378" s="28"/>
      <c r="AD1378" s="28"/>
      <c r="AE1378" s="54"/>
      <c r="AF1378" s="54"/>
      <c r="AG1378" s="54"/>
      <c r="AH1378" s="53"/>
      <c r="AI1378" s="53" t="s">
        <v>1591</v>
      </c>
      <c r="AJ1378" s="53" t="s">
        <v>1591</v>
      </c>
    </row>
    <row r="1379" spans="1:36" s="3" customFormat="1" ht="36" x14ac:dyDescent="0.25">
      <c r="A1379" s="17" t="s">
        <v>2043</v>
      </c>
      <c r="B1379" s="18" t="s">
        <v>37</v>
      </c>
      <c r="C1379" s="76" t="s">
        <v>6733</v>
      </c>
      <c r="D1379" s="45" t="s">
        <v>6734</v>
      </c>
      <c r="E1379" s="78"/>
      <c r="F1379" s="79"/>
      <c r="G1379" s="80"/>
      <c r="H1379" s="80"/>
      <c r="I1379" s="78" t="s">
        <v>6687</v>
      </c>
      <c r="J1379" s="79" t="s">
        <v>6688</v>
      </c>
      <c r="K1379" s="81" t="s">
        <v>4640</v>
      </c>
      <c r="L1379" s="82">
        <v>41484</v>
      </c>
      <c r="M1379" s="83">
        <v>41514</v>
      </c>
      <c r="N1379" s="80">
        <v>14723.55</v>
      </c>
      <c r="O1379" s="82">
        <v>41515</v>
      </c>
      <c r="P1379" s="84"/>
      <c r="Q1379" s="80">
        <v>0</v>
      </c>
      <c r="R1379" s="80">
        <v>14723.55</v>
      </c>
      <c r="S1379" s="80"/>
      <c r="T1379" s="81" t="s">
        <v>211</v>
      </c>
      <c r="U1379" s="80"/>
      <c r="V1379" s="80"/>
      <c r="W1379" s="80"/>
      <c r="X1379" s="80">
        <v>13233.73</v>
      </c>
      <c r="Y1379" s="76" t="s">
        <v>33</v>
      </c>
      <c r="Z1379" s="19" t="s">
        <v>7038</v>
      </c>
      <c r="AA1379" s="28"/>
      <c r="AB1379" s="56"/>
      <c r="AC1379" s="28"/>
      <c r="AD1379" s="28"/>
      <c r="AE1379" s="54"/>
      <c r="AF1379" s="54"/>
      <c r="AG1379" s="54"/>
      <c r="AH1379" s="53"/>
      <c r="AI1379" s="53" t="s">
        <v>1591</v>
      </c>
      <c r="AJ1379" s="53" t="s">
        <v>1591</v>
      </c>
    </row>
    <row r="1380" spans="1:36" s="3" customFormat="1" ht="48" x14ac:dyDescent="0.25">
      <c r="A1380" s="17" t="s">
        <v>1965</v>
      </c>
      <c r="B1380" s="18" t="s">
        <v>37</v>
      </c>
      <c r="C1380" s="76" t="s">
        <v>6736</v>
      </c>
      <c r="D1380" s="77" t="s">
        <v>6737</v>
      </c>
      <c r="E1380" s="78"/>
      <c r="F1380" s="79"/>
      <c r="G1380" s="80"/>
      <c r="H1380" s="80"/>
      <c r="I1380" s="78" t="s">
        <v>494</v>
      </c>
      <c r="J1380" s="79" t="s">
        <v>6738</v>
      </c>
      <c r="K1380" s="81"/>
      <c r="L1380" s="82"/>
      <c r="M1380" s="83"/>
      <c r="N1380" s="80">
        <v>724461.55</v>
      </c>
      <c r="O1380" s="82" t="s">
        <v>6739</v>
      </c>
      <c r="P1380" s="84" t="s">
        <v>1966</v>
      </c>
      <c r="Q1380" s="80">
        <v>0</v>
      </c>
      <c r="R1380" s="80">
        <v>724461.55</v>
      </c>
      <c r="S1380" s="80"/>
      <c r="T1380" s="81"/>
      <c r="U1380" s="80"/>
      <c r="V1380" s="80"/>
      <c r="W1380" s="80"/>
      <c r="X1380" s="80"/>
      <c r="Y1380" s="76" t="s">
        <v>6739</v>
      </c>
      <c r="Z1380" s="19" t="s">
        <v>7038</v>
      </c>
      <c r="AA1380" s="28"/>
      <c r="AB1380" s="56"/>
      <c r="AC1380" s="28"/>
      <c r="AD1380" s="28"/>
      <c r="AE1380" s="54"/>
      <c r="AF1380" s="54"/>
      <c r="AG1380" s="54"/>
      <c r="AH1380" s="53"/>
      <c r="AI1380" s="53" t="s">
        <v>1591</v>
      </c>
      <c r="AJ1380" s="53" t="s">
        <v>1591</v>
      </c>
    </row>
    <row r="1381" spans="1:36" s="3" customFormat="1" ht="36" x14ac:dyDescent="0.25">
      <c r="A1381" s="17" t="s">
        <v>1965</v>
      </c>
      <c r="B1381" s="18" t="s">
        <v>37</v>
      </c>
      <c r="C1381" s="76" t="s">
        <v>6740</v>
      </c>
      <c r="D1381" s="77" t="s">
        <v>6741</v>
      </c>
      <c r="E1381" s="78"/>
      <c r="F1381" s="79"/>
      <c r="G1381" s="80"/>
      <c r="H1381" s="80"/>
      <c r="I1381" s="78" t="s">
        <v>494</v>
      </c>
      <c r="J1381" s="79" t="s">
        <v>6738</v>
      </c>
      <c r="K1381" s="81"/>
      <c r="L1381" s="82"/>
      <c r="M1381" s="83"/>
      <c r="N1381" s="80">
        <v>459729.1</v>
      </c>
      <c r="O1381" s="82" t="s">
        <v>202</v>
      </c>
      <c r="P1381" s="84" t="s">
        <v>1966</v>
      </c>
      <c r="Q1381" s="80">
        <v>0</v>
      </c>
      <c r="R1381" s="80">
        <v>459729.1</v>
      </c>
      <c r="S1381" s="80"/>
      <c r="T1381" s="81"/>
      <c r="U1381" s="80">
        <v>91601.7</v>
      </c>
      <c r="V1381" s="80"/>
      <c r="W1381" s="80"/>
      <c r="X1381" s="80">
        <v>91601.7</v>
      </c>
      <c r="Y1381" s="76" t="s">
        <v>175</v>
      </c>
      <c r="Z1381" s="19" t="s">
        <v>7038</v>
      </c>
      <c r="AA1381" s="28"/>
      <c r="AB1381" s="56"/>
      <c r="AC1381" s="28"/>
      <c r="AD1381" s="28"/>
      <c r="AE1381" s="54"/>
      <c r="AF1381" s="54"/>
      <c r="AG1381" s="54"/>
      <c r="AH1381" s="53"/>
      <c r="AI1381" s="53" t="s">
        <v>1591</v>
      </c>
      <c r="AJ1381" s="53" t="s">
        <v>1591</v>
      </c>
    </row>
    <row r="1382" spans="1:36" s="3" customFormat="1" ht="48" x14ac:dyDescent="0.25">
      <c r="A1382" s="17" t="s">
        <v>1965</v>
      </c>
      <c r="B1382" s="18" t="s">
        <v>37</v>
      </c>
      <c r="C1382" s="76" t="s">
        <v>6742</v>
      </c>
      <c r="D1382" s="77" t="s">
        <v>6743</v>
      </c>
      <c r="E1382" s="78"/>
      <c r="F1382" s="79"/>
      <c r="G1382" s="80"/>
      <c r="H1382" s="80"/>
      <c r="I1382" s="78" t="s">
        <v>1968</v>
      </c>
      <c r="J1382" s="79" t="s">
        <v>1969</v>
      </c>
      <c r="K1382" s="81"/>
      <c r="L1382" s="82"/>
      <c r="M1382" s="83"/>
      <c r="N1382" s="80">
        <v>456053.54</v>
      </c>
      <c r="O1382" s="82" t="s">
        <v>6739</v>
      </c>
      <c r="P1382" s="84" t="s">
        <v>1966</v>
      </c>
      <c r="Q1382" s="80">
        <v>0</v>
      </c>
      <c r="R1382" s="80">
        <v>456053.54</v>
      </c>
      <c r="S1382" s="80"/>
      <c r="T1382" s="81"/>
      <c r="U1382" s="80"/>
      <c r="V1382" s="80"/>
      <c r="W1382" s="80"/>
      <c r="X1382" s="80"/>
      <c r="Y1382" s="76" t="s">
        <v>6739</v>
      </c>
      <c r="Z1382" s="19" t="s">
        <v>7038</v>
      </c>
      <c r="AA1382" s="28"/>
      <c r="AB1382" s="56"/>
      <c r="AC1382" s="28"/>
      <c r="AD1382" s="28"/>
      <c r="AE1382" s="54"/>
      <c r="AF1382" s="54"/>
      <c r="AG1382" s="54"/>
      <c r="AH1382" s="53"/>
      <c r="AI1382" s="53" t="s">
        <v>1591</v>
      </c>
      <c r="AJ1382" s="53" t="s">
        <v>1591</v>
      </c>
    </row>
    <row r="1383" spans="1:36" s="3" customFormat="1" ht="24" x14ac:dyDescent="0.25">
      <c r="A1383" s="17" t="s">
        <v>1965</v>
      </c>
      <c r="B1383" s="18" t="s">
        <v>37</v>
      </c>
      <c r="C1383" s="19" t="s">
        <v>2891</v>
      </c>
      <c r="D1383" s="45"/>
      <c r="E1383" s="50"/>
      <c r="F1383" s="58"/>
      <c r="G1383" s="51"/>
      <c r="H1383" s="51"/>
      <c r="I1383" s="50" t="s">
        <v>4245</v>
      </c>
      <c r="J1383" s="58" t="s">
        <v>4246</v>
      </c>
      <c r="K1383" s="52" t="s">
        <v>3219</v>
      </c>
      <c r="L1383" s="59">
        <v>42837</v>
      </c>
      <c r="M1383" s="60" t="s">
        <v>4252</v>
      </c>
      <c r="N1383" s="51">
        <v>410802.29</v>
      </c>
      <c r="O1383" s="59"/>
      <c r="P1383" s="59"/>
      <c r="Q1383" s="51"/>
      <c r="R1383" s="51">
        <f>N1383+Q1383</f>
        <v>410802.29</v>
      </c>
      <c r="S1383" s="51"/>
      <c r="T1383" s="52" t="s">
        <v>4305</v>
      </c>
      <c r="U1383" s="51">
        <v>346469.14</v>
      </c>
      <c r="V1383" s="51">
        <v>346469.14</v>
      </c>
      <c r="W1383" s="51">
        <v>346469.14</v>
      </c>
      <c r="X1383" s="51">
        <v>346469.14</v>
      </c>
      <c r="Y1383" s="19" t="s">
        <v>4295</v>
      </c>
      <c r="Z1383" s="19" t="s">
        <v>4310</v>
      </c>
      <c r="AA1383" s="28"/>
      <c r="AB1383" s="56"/>
      <c r="AC1383" s="28"/>
      <c r="AD1383" s="28"/>
      <c r="AE1383" s="54"/>
      <c r="AF1383" s="54"/>
      <c r="AG1383" s="54"/>
      <c r="AH1383" s="53"/>
      <c r="AI1383" s="53" t="s">
        <v>1591</v>
      </c>
      <c r="AJ1383" s="53" t="s">
        <v>1591</v>
      </c>
    </row>
    <row r="1384" spans="1:36" s="3" customFormat="1" ht="48" x14ac:dyDescent="0.25">
      <c r="A1384" s="17" t="s">
        <v>1965</v>
      </c>
      <c r="B1384" s="18" t="s">
        <v>37</v>
      </c>
      <c r="C1384" s="76" t="s">
        <v>6744</v>
      </c>
      <c r="D1384" s="77" t="s">
        <v>6745</v>
      </c>
      <c r="E1384" s="78"/>
      <c r="F1384" s="79"/>
      <c r="G1384" s="80"/>
      <c r="H1384" s="80"/>
      <c r="I1384" s="78" t="s">
        <v>494</v>
      </c>
      <c r="J1384" s="79" t="s">
        <v>6738</v>
      </c>
      <c r="K1384" s="81"/>
      <c r="L1384" s="82"/>
      <c r="M1384" s="83"/>
      <c r="N1384" s="80">
        <v>292691.56</v>
      </c>
      <c r="O1384" s="82" t="s">
        <v>6739</v>
      </c>
      <c r="P1384" s="84" t="s">
        <v>1966</v>
      </c>
      <c r="Q1384" s="80">
        <v>0</v>
      </c>
      <c r="R1384" s="80">
        <v>292691.56</v>
      </c>
      <c r="S1384" s="80"/>
      <c r="T1384" s="81"/>
      <c r="U1384" s="80"/>
      <c r="V1384" s="80"/>
      <c r="W1384" s="80"/>
      <c r="X1384" s="80"/>
      <c r="Y1384" s="76" t="s">
        <v>6739</v>
      </c>
      <c r="Z1384" s="19" t="s">
        <v>7038</v>
      </c>
      <c r="AA1384" s="28"/>
      <c r="AB1384" s="56"/>
      <c r="AC1384" s="28"/>
      <c r="AD1384" s="28"/>
      <c r="AE1384" s="54"/>
      <c r="AF1384" s="54"/>
      <c r="AG1384" s="54"/>
      <c r="AH1384" s="53"/>
      <c r="AI1384" s="53" t="s">
        <v>1591</v>
      </c>
      <c r="AJ1384" s="53" t="s">
        <v>1591</v>
      </c>
    </row>
    <row r="1385" spans="1:36" s="3" customFormat="1" ht="60" x14ac:dyDescent="0.25">
      <c r="A1385" s="17" t="s">
        <v>1965</v>
      </c>
      <c r="B1385" s="18" t="s">
        <v>37</v>
      </c>
      <c r="C1385" s="76" t="s">
        <v>6746</v>
      </c>
      <c r="D1385" s="77" t="s">
        <v>6747</v>
      </c>
      <c r="E1385" s="78"/>
      <c r="F1385" s="79"/>
      <c r="G1385" s="80"/>
      <c r="H1385" s="80"/>
      <c r="I1385" s="78" t="s">
        <v>494</v>
      </c>
      <c r="J1385" s="79" t="s">
        <v>6738</v>
      </c>
      <c r="K1385" s="81"/>
      <c r="L1385" s="82"/>
      <c r="M1385" s="83"/>
      <c r="N1385" s="80">
        <v>218272.17</v>
      </c>
      <c r="O1385" s="82" t="s">
        <v>202</v>
      </c>
      <c r="P1385" s="84" t="s">
        <v>150</v>
      </c>
      <c r="Q1385" s="80">
        <v>0</v>
      </c>
      <c r="R1385" s="80">
        <v>218272.17</v>
      </c>
      <c r="S1385" s="80"/>
      <c r="T1385" s="81"/>
      <c r="U1385" s="80">
        <v>18322.13</v>
      </c>
      <c r="V1385" s="80"/>
      <c r="W1385" s="80"/>
      <c r="X1385" s="80">
        <v>18322.13</v>
      </c>
      <c r="Y1385" s="76" t="s">
        <v>175</v>
      </c>
      <c r="Z1385" s="19" t="s">
        <v>7038</v>
      </c>
      <c r="AA1385" s="28"/>
      <c r="AB1385" s="56"/>
      <c r="AC1385" s="28"/>
      <c r="AD1385" s="28"/>
      <c r="AE1385" s="54"/>
      <c r="AF1385" s="54"/>
      <c r="AG1385" s="54"/>
      <c r="AH1385" s="53"/>
      <c r="AI1385" s="53" t="s">
        <v>1591</v>
      </c>
      <c r="AJ1385" s="53" t="s">
        <v>1591</v>
      </c>
    </row>
    <row r="1386" spans="1:36" s="3" customFormat="1" ht="60" x14ac:dyDescent="0.25">
      <c r="A1386" s="17" t="s">
        <v>1965</v>
      </c>
      <c r="B1386" s="18" t="s">
        <v>37</v>
      </c>
      <c r="C1386" s="76" t="s">
        <v>6749</v>
      </c>
      <c r="D1386" s="77" t="s">
        <v>6750</v>
      </c>
      <c r="E1386" s="78"/>
      <c r="F1386" s="79"/>
      <c r="G1386" s="80"/>
      <c r="H1386" s="80"/>
      <c r="I1386" s="78" t="s">
        <v>494</v>
      </c>
      <c r="J1386" s="79" t="s">
        <v>6735</v>
      </c>
      <c r="K1386" s="81"/>
      <c r="L1386" s="82"/>
      <c r="M1386" s="83"/>
      <c r="N1386" s="80">
        <v>154515.70000000001</v>
      </c>
      <c r="O1386" s="82" t="s">
        <v>6739</v>
      </c>
      <c r="P1386" s="84" t="s">
        <v>6751</v>
      </c>
      <c r="Q1386" s="80">
        <v>0</v>
      </c>
      <c r="R1386" s="80">
        <v>154515.70000000001</v>
      </c>
      <c r="S1386" s="80"/>
      <c r="T1386" s="81"/>
      <c r="U1386" s="80"/>
      <c r="V1386" s="80"/>
      <c r="W1386" s="80"/>
      <c r="X1386" s="80"/>
      <c r="Y1386" s="76" t="s">
        <v>6739</v>
      </c>
      <c r="Z1386" s="19" t="s">
        <v>7038</v>
      </c>
      <c r="AA1386" s="28"/>
      <c r="AB1386" s="56"/>
      <c r="AC1386" s="28"/>
      <c r="AD1386" s="28"/>
      <c r="AE1386" s="54"/>
      <c r="AF1386" s="54"/>
      <c r="AG1386" s="54"/>
      <c r="AH1386" s="53"/>
      <c r="AI1386" s="53" t="s">
        <v>1591</v>
      </c>
      <c r="AJ1386" s="53" t="s">
        <v>1591</v>
      </c>
    </row>
    <row r="1387" spans="1:36" s="3" customFormat="1" ht="48" x14ac:dyDescent="0.25">
      <c r="A1387" s="17" t="s">
        <v>1965</v>
      </c>
      <c r="B1387" s="18" t="s">
        <v>37</v>
      </c>
      <c r="C1387" s="76" t="s">
        <v>6753</v>
      </c>
      <c r="D1387" s="77" t="s">
        <v>6754</v>
      </c>
      <c r="E1387" s="78"/>
      <c r="F1387" s="79"/>
      <c r="G1387" s="80"/>
      <c r="H1387" s="80"/>
      <c r="I1387" s="78" t="s">
        <v>1967</v>
      </c>
      <c r="J1387" s="79" t="s">
        <v>6755</v>
      </c>
      <c r="K1387" s="81"/>
      <c r="L1387" s="82"/>
      <c r="M1387" s="83"/>
      <c r="N1387" s="80">
        <v>118460.6</v>
      </c>
      <c r="O1387" s="82" t="s">
        <v>4618</v>
      </c>
      <c r="P1387" s="84" t="s">
        <v>5204</v>
      </c>
      <c r="Q1387" s="80">
        <v>0</v>
      </c>
      <c r="R1387" s="80">
        <v>118460.6</v>
      </c>
      <c r="S1387" s="80"/>
      <c r="T1387" s="81"/>
      <c r="U1387" s="80"/>
      <c r="V1387" s="80"/>
      <c r="W1387" s="80"/>
      <c r="X1387" s="80"/>
      <c r="Y1387" s="76" t="s">
        <v>6739</v>
      </c>
      <c r="Z1387" s="19" t="s">
        <v>7038</v>
      </c>
      <c r="AA1387" s="28"/>
      <c r="AB1387" s="56"/>
      <c r="AC1387" s="28"/>
      <c r="AD1387" s="28"/>
      <c r="AE1387" s="54"/>
      <c r="AF1387" s="54"/>
      <c r="AG1387" s="54"/>
      <c r="AH1387" s="53"/>
      <c r="AI1387" s="53" t="s">
        <v>1591</v>
      </c>
      <c r="AJ1387" s="53" t="s">
        <v>1591</v>
      </c>
    </row>
    <row r="1388" spans="1:36" s="3" customFormat="1" ht="60" x14ac:dyDescent="0.25">
      <c r="A1388" s="17" t="s">
        <v>1965</v>
      </c>
      <c r="B1388" s="18" t="s">
        <v>37</v>
      </c>
      <c r="C1388" s="76" t="s">
        <v>6756</v>
      </c>
      <c r="D1388" s="77" t="s">
        <v>6757</v>
      </c>
      <c r="E1388" s="78"/>
      <c r="F1388" s="79"/>
      <c r="G1388" s="80"/>
      <c r="H1388" s="80"/>
      <c r="I1388" s="78" t="s">
        <v>847</v>
      </c>
      <c r="J1388" s="79" t="s">
        <v>1465</v>
      </c>
      <c r="K1388" s="81"/>
      <c r="L1388" s="82"/>
      <c r="M1388" s="83"/>
      <c r="N1388" s="80">
        <v>80772.22</v>
      </c>
      <c r="O1388" s="82"/>
      <c r="P1388" s="84" t="s">
        <v>1966</v>
      </c>
      <c r="Q1388" s="80">
        <v>0</v>
      </c>
      <c r="R1388" s="80">
        <v>80772.22</v>
      </c>
      <c r="S1388" s="80"/>
      <c r="T1388" s="81"/>
      <c r="U1388" s="80"/>
      <c r="V1388" s="80"/>
      <c r="W1388" s="80"/>
      <c r="X1388" s="80"/>
      <c r="Y1388" s="76" t="s">
        <v>6739</v>
      </c>
      <c r="Z1388" s="19" t="s">
        <v>7038</v>
      </c>
      <c r="AA1388" s="28"/>
      <c r="AB1388" s="56"/>
      <c r="AC1388" s="28"/>
      <c r="AD1388" s="28"/>
      <c r="AE1388" s="54"/>
      <c r="AF1388" s="54"/>
      <c r="AG1388" s="54"/>
      <c r="AH1388" s="53"/>
      <c r="AI1388" s="53" t="s">
        <v>1591</v>
      </c>
      <c r="AJ1388" s="53" t="s">
        <v>1591</v>
      </c>
    </row>
    <row r="1389" spans="1:36" s="3" customFormat="1" ht="48" x14ac:dyDescent="0.25">
      <c r="A1389" s="17" t="s">
        <v>1965</v>
      </c>
      <c r="B1389" s="18" t="s">
        <v>37</v>
      </c>
      <c r="C1389" s="76" t="s">
        <v>6758</v>
      </c>
      <c r="D1389" s="77" t="s">
        <v>6759</v>
      </c>
      <c r="E1389" s="78"/>
      <c r="F1389" s="79"/>
      <c r="G1389" s="80"/>
      <c r="H1389" s="80"/>
      <c r="I1389" s="78" t="s">
        <v>6587</v>
      </c>
      <c r="J1389" s="79" t="s">
        <v>6752</v>
      </c>
      <c r="K1389" s="81"/>
      <c r="L1389" s="82"/>
      <c r="M1389" s="83"/>
      <c r="N1389" s="80">
        <v>70888.960000000006</v>
      </c>
      <c r="O1389" s="82" t="s">
        <v>175</v>
      </c>
      <c r="P1389" s="84" t="s">
        <v>1966</v>
      </c>
      <c r="Q1389" s="80">
        <v>0</v>
      </c>
      <c r="R1389" s="80">
        <v>70888.960000000006</v>
      </c>
      <c r="S1389" s="80"/>
      <c r="T1389" s="81"/>
      <c r="U1389" s="80">
        <v>23491.84</v>
      </c>
      <c r="V1389" s="80"/>
      <c r="W1389" s="80"/>
      <c r="X1389" s="80">
        <v>23491.84</v>
      </c>
      <c r="Y1389" s="76" t="s">
        <v>175</v>
      </c>
      <c r="Z1389" s="19" t="s">
        <v>7038</v>
      </c>
      <c r="AA1389" s="28"/>
      <c r="AB1389" s="56"/>
      <c r="AC1389" s="28"/>
      <c r="AD1389" s="28"/>
      <c r="AE1389" s="54"/>
      <c r="AF1389" s="54"/>
      <c r="AG1389" s="54"/>
      <c r="AH1389" s="53"/>
      <c r="AI1389" s="53" t="s">
        <v>1591</v>
      </c>
      <c r="AJ1389" s="53" t="s">
        <v>1591</v>
      </c>
    </row>
    <row r="1390" spans="1:36" s="3" customFormat="1" ht="36" x14ac:dyDescent="0.25">
      <c r="A1390" s="17" t="s">
        <v>1965</v>
      </c>
      <c r="B1390" s="18" t="s">
        <v>37</v>
      </c>
      <c r="C1390" s="76" t="s">
        <v>6762</v>
      </c>
      <c r="D1390" s="77" t="s">
        <v>6763</v>
      </c>
      <c r="E1390" s="78"/>
      <c r="F1390" s="79"/>
      <c r="G1390" s="80"/>
      <c r="H1390" s="80"/>
      <c r="I1390" s="78" t="s">
        <v>6764</v>
      </c>
      <c r="J1390" s="79" t="s">
        <v>6765</v>
      </c>
      <c r="K1390" s="81"/>
      <c r="L1390" s="82"/>
      <c r="M1390" s="83"/>
      <c r="N1390" s="80">
        <v>48099.58</v>
      </c>
      <c r="O1390" s="82" t="s">
        <v>202</v>
      </c>
      <c r="P1390" s="84" t="s">
        <v>6739</v>
      </c>
      <c r="Q1390" s="80">
        <v>0</v>
      </c>
      <c r="R1390" s="80">
        <v>48099.58</v>
      </c>
      <c r="S1390" s="80"/>
      <c r="T1390" s="81"/>
      <c r="U1390" s="80"/>
      <c r="V1390" s="80"/>
      <c r="W1390" s="80"/>
      <c r="X1390" s="80"/>
      <c r="Y1390" s="76" t="s">
        <v>6739</v>
      </c>
      <c r="Z1390" s="19" t="s">
        <v>7038</v>
      </c>
      <c r="AA1390" s="28"/>
      <c r="AB1390" s="56"/>
      <c r="AC1390" s="28"/>
      <c r="AD1390" s="28"/>
      <c r="AE1390" s="54"/>
      <c r="AF1390" s="54"/>
      <c r="AG1390" s="54"/>
      <c r="AH1390" s="53"/>
      <c r="AI1390" s="53" t="s">
        <v>1591</v>
      </c>
      <c r="AJ1390" s="53" t="s">
        <v>1591</v>
      </c>
    </row>
    <row r="1391" spans="1:36" s="3" customFormat="1" ht="36" x14ac:dyDescent="0.25">
      <c r="A1391" s="17" t="s">
        <v>1965</v>
      </c>
      <c r="B1391" s="18" t="s">
        <v>37</v>
      </c>
      <c r="C1391" s="76" t="s">
        <v>6766</v>
      </c>
      <c r="D1391" s="77" t="s">
        <v>6767</v>
      </c>
      <c r="E1391" s="78"/>
      <c r="F1391" s="79"/>
      <c r="G1391" s="80"/>
      <c r="H1391" s="80"/>
      <c r="I1391" s="78" t="s">
        <v>6760</v>
      </c>
      <c r="J1391" s="79" t="s">
        <v>6761</v>
      </c>
      <c r="K1391" s="81"/>
      <c r="L1391" s="82"/>
      <c r="M1391" s="83"/>
      <c r="N1391" s="80">
        <v>45662.89</v>
      </c>
      <c r="O1391" s="82" t="s">
        <v>6739</v>
      </c>
      <c r="P1391" s="84" t="s">
        <v>5137</v>
      </c>
      <c r="Q1391" s="80">
        <v>0</v>
      </c>
      <c r="R1391" s="80">
        <v>45662.89</v>
      </c>
      <c r="S1391" s="80"/>
      <c r="T1391" s="81"/>
      <c r="U1391" s="80"/>
      <c r="V1391" s="80"/>
      <c r="W1391" s="80"/>
      <c r="X1391" s="80"/>
      <c r="Y1391" s="76" t="s">
        <v>6739</v>
      </c>
      <c r="Z1391" s="19" t="s">
        <v>7038</v>
      </c>
      <c r="AA1391" s="28"/>
      <c r="AB1391" s="56"/>
      <c r="AC1391" s="28"/>
      <c r="AD1391" s="28"/>
      <c r="AE1391" s="54"/>
      <c r="AF1391" s="54"/>
      <c r="AG1391" s="54"/>
      <c r="AH1391" s="53"/>
      <c r="AI1391" s="53" t="s">
        <v>1591</v>
      </c>
      <c r="AJ1391" s="53" t="s">
        <v>1591</v>
      </c>
    </row>
    <row r="1392" spans="1:36" s="3" customFormat="1" ht="48" x14ac:dyDescent="0.25">
      <c r="A1392" s="17" t="s">
        <v>1965</v>
      </c>
      <c r="B1392" s="18" t="s">
        <v>37</v>
      </c>
      <c r="C1392" s="76" t="s">
        <v>6768</v>
      </c>
      <c r="D1392" s="77" t="s">
        <v>6769</v>
      </c>
      <c r="E1392" s="78"/>
      <c r="F1392" s="79"/>
      <c r="G1392" s="80"/>
      <c r="H1392" s="80"/>
      <c r="I1392" s="78" t="s">
        <v>1967</v>
      </c>
      <c r="J1392" s="79" t="s">
        <v>6755</v>
      </c>
      <c r="K1392" s="81"/>
      <c r="L1392" s="82"/>
      <c r="M1392" s="83"/>
      <c r="N1392" s="80">
        <v>39453.35</v>
      </c>
      <c r="O1392" s="82" t="s">
        <v>6739</v>
      </c>
      <c r="P1392" s="84" t="s">
        <v>6748</v>
      </c>
      <c r="Q1392" s="80">
        <v>0</v>
      </c>
      <c r="R1392" s="80">
        <v>39453.35</v>
      </c>
      <c r="S1392" s="80"/>
      <c r="T1392" s="81"/>
      <c r="U1392" s="80"/>
      <c r="V1392" s="80"/>
      <c r="W1392" s="80"/>
      <c r="X1392" s="80"/>
      <c r="Y1392" s="76" t="s">
        <v>6739</v>
      </c>
      <c r="Z1392" s="19" t="s">
        <v>7038</v>
      </c>
      <c r="AA1392" s="28"/>
      <c r="AB1392" s="56"/>
      <c r="AC1392" s="28"/>
      <c r="AD1392" s="28"/>
      <c r="AE1392" s="54"/>
      <c r="AF1392" s="54"/>
      <c r="AG1392" s="54"/>
      <c r="AH1392" s="53"/>
      <c r="AI1392" s="53" t="s">
        <v>1591</v>
      </c>
      <c r="AJ1392" s="53" t="s">
        <v>1591</v>
      </c>
    </row>
    <row r="1393" spans="1:36" s="3" customFormat="1" ht="48" x14ac:dyDescent="0.25">
      <c r="A1393" s="17" t="s">
        <v>1965</v>
      </c>
      <c r="B1393" s="18" t="s">
        <v>37</v>
      </c>
      <c r="C1393" s="76" t="s">
        <v>6770</v>
      </c>
      <c r="D1393" s="77" t="s">
        <v>6771</v>
      </c>
      <c r="E1393" s="78"/>
      <c r="F1393" s="79"/>
      <c r="G1393" s="80"/>
      <c r="H1393" s="80"/>
      <c r="I1393" s="78" t="s">
        <v>847</v>
      </c>
      <c r="J1393" s="79" t="s">
        <v>1465</v>
      </c>
      <c r="K1393" s="81"/>
      <c r="L1393" s="82"/>
      <c r="M1393" s="83"/>
      <c r="N1393" s="80">
        <v>19204.599999999999</v>
      </c>
      <c r="O1393" s="82" t="s">
        <v>6739</v>
      </c>
      <c r="P1393" s="84" t="s">
        <v>1966</v>
      </c>
      <c r="Q1393" s="80">
        <v>0</v>
      </c>
      <c r="R1393" s="80">
        <v>19204.599999999999</v>
      </c>
      <c r="S1393" s="80"/>
      <c r="T1393" s="81"/>
      <c r="U1393" s="80"/>
      <c r="V1393" s="80"/>
      <c r="W1393" s="80"/>
      <c r="X1393" s="80"/>
      <c r="Y1393" s="76" t="s">
        <v>6739</v>
      </c>
      <c r="Z1393" s="19" t="s">
        <v>7038</v>
      </c>
      <c r="AA1393" s="28"/>
      <c r="AB1393" s="56"/>
      <c r="AC1393" s="28"/>
      <c r="AD1393" s="28"/>
      <c r="AE1393" s="54"/>
      <c r="AF1393" s="54"/>
      <c r="AG1393" s="54"/>
      <c r="AH1393" s="53"/>
      <c r="AI1393" s="53" t="s">
        <v>1591</v>
      </c>
      <c r="AJ1393" s="53" t="s">
        <v>1591</v>
      </c>
    </row>
    <row r="1394" spans="1:36" s="3" customFormat="1" ht="48" x14ac:dyDescent="0.25">
      <c r="A1394" s="17" t="s">
        <v>1965</v>
      </c>
      <c r="B1394" s="18" t="s">
        <v>37</v>
      </c>
      <c r="C1394" s="76" t="s">
        <v>6772</v>
      </c>
      <c r="D1394" s="77" t="s">
        <v>6773</v>
      </c>
      <c r="E1394" s="78"/>
      <c r="F1394" s="79"/>
      <c r="G1394" s="80"/>
      <c r="H1394" s="80"/>
      <c r="I1394" s="78" t="s">
        <v>976</v>
      </c>
      <c r="J1394" s="79" t="s">
        <v>6774</v>
      </c>
      <c r="K1394" s="81"/>
      <c r="L1394" s="82"/>
      <c r="M1394" s="83"/>
      <c r="N1394" s="80">
        <v>17086.400000000001</v>
      </c>
      <c r="O1394" s="82" t="s">
        <v>6739</v>
      </c>
      <c r="P1394" s="84" t="s">
        <v>1966</v>
      </c>
      <c r="Q1394" s="80">
        <v>0</v>
      </c>
      <c r="R1394" s="80">
        <v>17086.400000000001</v>
      </c>
      <c r="S1394" s="80"/>
      <c r="T1394" s="81"/>
      <c r="U1394" s="80"/>
      <c r="V1394" s="80"/>
      <c r="W1394" s="80"/>
      <c r="X1394" s="80"/>
      <c r="Y1394" s="76" t="s">
        <v>6739</v>
      </c>
      <c r="Z1394" s="19" t="s">
        <v>7038</v>
      </c>
      <c r="AA1394" s="28"/>
      <c r="AB1394" s="56"/>
      <c r="AC1394" s="28"/>
      <c r="AD1394" s="28"/>
      <c r="AE1394" s="54"/>
      <c r="AF1394" s="54"/>
      <c r="AG1394" s="54"/>
      <c r="AH1394" s="53"/>
      <c r="AI1394" s="53" t="s">
        <v>1591</v>
      </c>
      <c r="AJ1394" s="53" t="s">
        <v>1591</v>
      </c>
    </row>
    <row r="1395" spans="1:36" s="3" customFormat="1" ht="48" x14ac:dyDescent="0.25">
      <c r="A1395" s="17" t="s">
        <v>1965</v>
      </c>
      <c r="B1395" s="18" t="s">
        <v>37</v>
      </c>
      <c r="C1395" s="76" t="s">
        <v>6776</v>
      </c>
      <c r="D1395" s="77" t="s">
        <v>6777</v>
      </c>
      <c r="E1395" s="78"/>
      <c r="F1395" s="79"/>
      <c r="G1395" s="80"/>
      <c r="H1395" s="80"/>
      <c r="I1395" s="78" t="s">
        <v>1967</v>
      </c>
      <c r="J1395" s="79" t="s">
        <v>6755</v>
      </c>
      <c r="K1395" s="81"/>
      <c r="L1395" s="82"/>
      <c r="M1395" s="83"/>
      <c r="N1395" s="80">
        <v>14272.09</v>
      </c>
      <c r="O1395" s="82" t="s">
        <v>6739</v>
      </c>
      <c r="P1395" s="84" t="s">
        <v>6778</v>
      </c>
      <c r="Q1395" s="80">
        <v>0</v>
      </c>
      <c r="R1395" s="80">
        <v>14272.09</v>
      </c>
      <c r="S1395" s="80"/>
      <c r="T1395" s="81"/>
      <c r="U1395" s="80"/>
      <c r="V1395" s="80"/>
      <c r="W1395" s="80"/>
      <c r="X1395" s="80"/>
      <c r="Y1395" s="76" t="s">
        <v>6739</v>
      </c>
      <c r="Z1395" s="19" t="s">
        <v>7038</v>
      </c>
      <c r="AA1395" s="28"/>
      <c r="AB1395" s="56"/>
      <c r="AC1395" s="28"/>
      <c r="AD1395" s="28"/>
      <c r="AE1395" s="54"/>
      <c r="AF1395" s="54"/>
      <c r="AG1395" s="54"/>
      <c r="AH1395" s="53"/>
      <c r="AI1395" s="53" t="s">
        <v>1591</v>
      </c>
      <c r="AJ1395" s="53" t="s">
        <v>1591</v>
      </c>
    </row>
    <row r="1396" spans="1:36" s="3" customFormat="1" ht="48" x14ac:dyDescent="0.25">
      <c r="A1396" s="17" t="s">
        <v>1965</v>
      </c>
      <c r="B1396" s="18" t="s">
        <v>37</v>
      </c>
      <c r="C1396" s="76" t="s">
        <v>6779</v>
      </c>
      <c r="D1396" s="77" t="s">
        <v>6780</v>
      </c>
      <c r="E1396" s="78"/>
      <c r="F1396" s="79"/>
      <c r="G1396" s="80"/>
      <c r="H1396" s="80"/>
      <c r="I1396" s="78" t="s">
        <v>6760</v>
      </c>
      <c r="J1396" s="79" t="s">
        <v>6775</v>
      </c>
      <c r="K1396" s="81"/>
      <c r="L1396" s="82"/>
      <c r="M1396" s="83"/>
      <c r="N1396" s="80">
        <v>14128.09</v>
      </c>
      <c r="O1396" s="82" t="s">
        <v>6739</v>
      </c>
      <c r="P1396" s="84" t="s">
        <v>6778</v>
      </c>
      <c r="Q1396" s="80">
        <v>0</v>
      </c>
      <c r="R1396" s="80">
        <v>14128.09</v>
      </c>
      <c r="S1396" s="80"/>
      <c r="T1396" s="81"/>
      <c r="U1396" s="80"/>
      <c r="V1396" s="80"/>
      <c r="W1396" s="80"/>
      <c r="X1396" s="80"/>
      <c r="Y1396" s="76" t="s">
        <v>6739</v>
      </c>
      <c r="Z1396" s="19" t="s">
        <v>7038</v>
      </c>
      <c r="AA1396" s="28"/>
      <c r="AB1396" s="56"/>
      <c r="AC1396" s="28"/>
      <c r="AD1396" s="28"/>
      <c r="AE1396" s="54"/>
      <c r="AF1396" s="54"/>
      <c r="AG1396" s="54"/>
      <c r="AH1396" s="53"/>
      <c r="AI1396" s="53" t="s">
        <v>1591</v>
      </c>
      <c r="AJ1396" s="53" t="s">
        <v>1591</v>
      </c>
    </row>
    <row r="1397" spans="1:36" s="3" customFormat="1" ht="60" x14ac:dyDescent="0.25">
      <c r="A1397" s="17" t="s">
        <v>1965</v>
      </c>
      <c r="B1397" s="18" t="s">
        <v>37</v>
      </c>
      <c r="C1397" s="19"/>
      <c r="D1397" s="45" t="s">
        <v>4087</v>
      </c>
      <c r="E1397" s="50" t="s">
        <v>4239</v>
      </c>
      <c r="F1397" s="58" t="s">
        <v>1249</v>
      </c>
      <c r="G1397" s="51">
        <v>1233450</v>
      </c>
      <c r="H1397" s="51">
        <v>98676</v>
      </c>
      <c r="I1397" s="50"/>
      <c r="J1397" s="58"/>
      <c r="K1397" s="52"/>
      <c r="L1397" s="59"/>
      <c r="M1397" s="60"/>
      <c r="N1397" s="51"/>
      <c r="O1397" s="59"/>
      <c r="P1397" s="59"/>
      <c r="Q1397" s="51"/>
      <c r="R1397" s="51">
        <f t="shared" ref="R1397:R1414" si="51">N1397+Q1397</f>
        <v>0</v>
      </c>
      <c r="S1397" s="51"/>
      <c r="T1397" s="52" t="s">
        <v>4293</v>
      </c>
      <c r="U1397" s="51">
        <v>0</v>
      </c>
      <c r="V1397" s="51"/>
      <c r="W1397" s="51"/>
      <c r="X1397" s="51">
        <v>0</v>
      </c>
      <c r="Y1397" s="19" t="s">
        <v>4299</v>
      </c>
      <c r="Z1397" s="19" t="s">
        <v>4307</v>
      </c>
      <c r="AA1397" s="28"/>
      <c r="AB1397" s="56"/>
      <c r="AC1397" s="28"/>
      <c r="AD1397" s="28"/>
      <c r="AE1397" s="54"/>
      <c r="AF1397" s="54"/>
      <c r="AG1397" s="54"/>
      <c r="AH1397" s="53"/>
      <c r="AI1397" s="53" t="s">
        <v>1591</v>
      </c>
      <c r="AJ1397" s="53" t="s">
        <v>1591</v>
      </c>
    </row>
    <row r="1398" spans="1:36" s="3" customFormat="1" ht="60" x14ac:dyDescent="0.25">
      <c r="A1398" s="17" t="s">
        <v>1965</v>
      </c>
      <c r="B1398" s="18" t="s">
        <v>37</v>
      </c>
      <c r="C1398" s="19"/>
      <c r="D1398" s="45" t="s">
        <v>4091</v>
      </c>
      <c r="E1398" s="50" t="s">
        <v>4243</v>
      </c>
      <c r="F1398" s="58" t="s">
        <v>4230</v>
      </c>
      <c r="G1398" s="51">
        <v>487500</v>
      </c>
      <c r="H1398" s="51">
        <v>10000</v>
      </c>
      <c r="I1398" s="50"/>
      <c r="J1398" s="58"/>
      <c r="K1398" s="52"/>
      <c r="L1398" s="59"/>
      <c r="M1398" s="60"/>
      <c r="N1398" s="51"/>
      <c r="O1398" s="59"/>
      <c r="P1398" s="59"/>
      <c r="Q1398" s="51"/>
      <c r="R1398" s="51">
        <f t="shared" si="51"/>
        <v>0</v>
      </c>
      <c r="S1398" s="51"/>
      <c r="T1398" s="52" t="s">
        <v>4293</v>
      </c>
      <c r="U1398" s="51">
        <v>0</v>
      </c>
      <c r="V1398" s="51"/>
      <c r="W1398" s="51"/>
      <c r="X1398" s="51">
        <v>0</v>
      </c>
      <c r="Y1398" s="19" t="s">
        <v>4302</v>
      </c>
      <c r="Z1398" s="19" t="s">
        <v>4307</v>
      </c>
      <c r="AA1398" s="28"/>
      <c r="AB1398" s="56"/>
      <c r="AC1398" s="28"/>
      <c r="AD1398" s="28"/>
      <c r="AE1398" s="54"/>
      <c r="AF1398" s="54"/>
      <c r="AG1398" s="54"/>
      <c r="AH1398" s="53"/>
      <c r="AI1398" s="53" t="s">
        <v>1591</v>
      </c>
      <c r="AJ1398" s="53" t="s">
        <v>1591</v>
      </c>
    </row>
    <row r="1399" spans="1:36" s="3" customFormat="1" ht="48" x14ac:dyDescent="0.25">
      <c r="A1399" s="17" t="s">
        <v>1965</v>
      </c>
      <c r="B1399" s="18" t="s">
        <v>37</v>
      </c>
      <c r="C1399" s="19"/>
      <c r="D1399" s="45" t="s">
        <v>4095</v>
      </c>
      <c r="E1399" s="50" t="s">
        <v>324</v>
      </c>
      <c r="F1399" s="58" t="s">
        <v>4244</v>
      </c>
      <c r="G1399" s="51">
        <v>500000</v>
      </c>
      <c r="H1399" s="51">
        <v>66188</v>
      </c>
      <c r="I1399" s="50"/>
      <c r="J1399" s="58"/>
      <c r="K1399" s="52"/>
      <c r="L1399" s="59"/>
      <c r="M1399" s="60"/>
      <c r="N1399" s="51"/>
      <c r="O1399" s="59"/>
      <c r="P1399" s="59"/>
      <c r="Q1399" s="51"/>
      <c r="R1399" s="51">
        <f t="shared" si="51"/>
        <v>0</v>
      </c>
      <c r="S1399" s="51"/>
      <c r="T1399" s="52" t="s">
        <v>4293</v>
      </c>
      <c r="U1399" s="51">
        <v>151437.31</v>
      </c>
      <c r="V1399" s="51"/>
      <c r="W1399" s="51"/>
      <c r="X1399" s="51">
        <v>151437.31</v>
      </c>
      <c r="Y1399" s="19" t="s">
        <v>4304</v>
      </c>
      <c r="Z1399" s="19" t="s">
        <v>4307</v>
      </c>
      <c r="AA1399" s="28"/>
      <c r="AB1399" s="56"/>
      <c r="AC1399" s="28"/>
      <c r="AD1399" s="28"/>
      <c r="AE1399" s="54"/>
      <c r="AF1399" s="54"/>
      <c r="AG1399" s="54"/>
      <c r="AH1399" s="53"/>
      <c r="AI1399" s="53" t="s">
        <v>1591</v>
      </c>
      <c r="AJ1399" s="53" t="s">
        <v>1591</v>
      </c>
    </row>
    <row r="1400" spans="1:36" s="3" customFormat="1" ht="48" x14ac:dyDescent="0.25">
      <c r="A1400" s="17" t="s">
        <v>1965</v>
      </c>
      <c r="B1400" s="18" t="s">
        <v>37</v>
      </c>
      <c r="C1400" s="19"/>
      <c r="D1400" s="45" t="s">
        <v>4097</v>
      </c>
      <c r="E1400" s="50" t="s">
        <v>409</v>
      </c>
      <c r="F1400" s="58" t="s">
        <v>4244</v>
      </c>
      <c r="G1400" s="51">
        <v>424448.38</v>
      </c>
      <c r="H1400" s="51">
        <v>411953.75</v>
      </c>
      <c r="I1400" s="50"/>
      <c r="J1400" s="58"/>
      <c r="K1400" s="52"/>
      <c r="L1400" s="59"/>
      <c r="M1400" s="60"/>
      <c r="N1400" s="51"/>
      <c r="O1400" s="59"/>
      <c r="P1400" s="59"/>
      <c r="Q1400" s="51"/>
      <c r="R1400" s="51">
        <f t="shared" si="51"/>
        <v>0</v>
      </c>
      <c r="S1400" s="51"/>
      <c r="T1400" s="52" t="s">
        <v>4293</v>
      </c>
      <c r="U1400" s="51">
        <v>182520.43</v>
      </c>
      <c r="V1400" s="51"/>
      <c r="W1400" s="51"/>
      <c r="X1400" s="51">
        <v>182520.43</v>
      </c>
      <c r="Y1400" s="19" t="s">
        <v>4304</v>
      </c>
      <c r="Z1400" s="19" t="s">
        <v>4307</v>
      </c>
      <c r="AA1400" s="28"/>
      <c r="AB1400" s="56"/>
      <c r="AC1400" s="28"/>
      <c r="AD1400" s="28"/>
      <c r="AE1400" s="54"/>
      <c r="AF1400" s="54"/>
      <c r="AG1400" s="54"/>
      <c r="AH1400" s="53"/>
      <c r="AI1400" s="53" t="s">
        <v>1591</v>
      </c>
      <c r="AJ1400" s="53" t="s">
        <v>1591</v>
      </c>
    </row>
    <row r="1401" spans="1:36" s="3" customFormat="1" ht="96" x14ac:dyDescent="0.25">
      <c r="A1401" s="17" t="s">
        <v>1965</v>
      </c>
      <c r="B1401" s="18" t="s">
        <v>37</v>
      </c>
      <c r="C1401" s="19"/>
      <c r="D1401" s="65" t="s">
        <v>4085</v>
      </c>
      <c r="E1401" s="50" t="s">
        <v>4236</v>
      </c>
      <c r="F1401" s="58" t="s">
        <v>1249</v>
      </c>
      <c r="G1401" s="51">
        <v>2000000</v>
      </c>
      <c r="H1401" s="51">
        <v>0</v>
      </c>
      <c r="I1401" s="50"/>
      <c r="J1401" s="58"/>
      <c r="K1401" s="52"/>
      <c r="L1401" s="59"/>
      <c r="M1401" s="60"/>
      <c r="N1401" s="66"/>
      <c r="O1401" s="59"/>
      <c r="P1401" s="59"/>
      <c r="Q1401" s="51"/>
      <c r="R1401" s="51">
        <f t="shared" si="51"/>
        <v>0</v>
      </c>
      <c r="S1401" s="51"/>
      <c r="T1401" s="52" t="s">
        <v>4293</v>
      </c>
      <c r="U1401" s="51">
        <v>185330.24</v>
      </c>
      <c r="V1401" s="51"/>
      <c r="W1401" s="51"/>
      <c r="X1401" s="51">
        <v>185330.24</v>
      </c>
      <c r="Y1401" s="19" t="s">
        <v>4297</v>
      </c>
      <c r="Z1401" s="19" t="s">
        <v>4307</v>
      </c>
      <c r="AA1401" s="28"/>
      <c r="AB1401" s="56"/>
      <c r="AC1401" s="28"/>
      <c r="AD1401" s="28"/>
      <c r="AE1401" s="54"/>
      <c r="AF1401" s="54"/>
      <c r="AG1401" s="54"/>
      <c r="AH1401" s="53"/>
      <c r="AI1401" s="53" t="s">
        <v>1591</v>
      </c>
      <c r="AJ1401" s="53" t="s">
        <v>1591</v>
      </c>
    </row>
    <row r="1402" spans="1:36" s="3" customFormat="1" ht="84" x14ac:dyDescent="0.25">
      <c r="A1402" s="17" t="s">
        <v>1965</v>
      </c>
      <c r="B1402" s="18" t="s">
        <v>37</v>
      </c>
      <c r="C1402" s="19"/>
      <c r="D1402" s="65" t="s">
        <v>4088</v>
      </c>
      <c r="E1402" s="50" t="s">
        <v>4240</v>
      </c>
      <c r="F1402" s="58" t="s">
        <v>686</v>
      </c>
      <c r="G1402" s="51">
        <v>487500</v>
      </c>
      <c r="H1402" s="51">
        <v>42391.3</v>
      </c>
      <c r="I1402" s="50"/>
      <c r="J1402" s="58"/>
      <c r="K1402" s="52"/>
      <c r="L1402" s="59"/>
      <c r="M1402" s="60"/>
      <c r="N1402" s="66"/>
      <c r="O1402" s="59"/>
      <c r="P1402" s="59"/>
      <c r="Q1402" s="51"/>
      <c r="R1402" s="51">
        <f t="shared" si="51"/>
        <v>0</v>
      </c>
      <c r="S1402" s="51"/>
      <c r="T1402" s="52" t="s">
        <v>4293</v>
      </c>
      <c r="U1402" s="51">
        <v>228361.84</v>
      </c>
      <c r="V1402" s="51"/>
      <c r="W1402" s="51"/>
      <c r="X1402" s="51">
        <v>228361.84</v>
      </c>
      <c r="Y1402" s="19" t="s">
        <v>4300</v>
      </c>
      <c r="Z1402" s="19" t="s">
        <v>4307</v>
      </c>
      <c r="AA1402" s="28"/>
      <c r="AB1402" s="56"/>
      <c r="AC1402" s="28"/>
      <c r="AD1402" s="28"/>
      <c r="AE1402" s="54"/>
      <c r="AF1402" s="54"/>
      <c r="AG1402" s="54"/>
      <c r="AH1402" s="53"/>
      <c r="AI1402" s="53" t="s">
        <v>1591</v>
      </c>
      <c r="AJ1402" s="53" t="s">
        <v>1591</v>
      </c>
    </row>
    <row r="1403" spans="1:36" s="3" customFormat="1" ht="48" x14ac:dyDescent="0.25">
      <c r="A1403" s="17" t="s">
        <v>1965</v>
      </c>
      <c r="B1403" s="18" t="s">
        <v>37</v>
      </c>
      <c r="C1403" s="19"/>
      <c r="D1403" s="65" t="s">
        <v>4096</v>
      </c>
      <c r="E1403" s="50" t="s">
        <v>336</v>
      </c>
      <c r="F1403" s="58" t="s">
        <v>4244</v>
      </c>
      <c r="G1403" s="51">
        <v>799615.74</v>
      </c>
      <c r="H1403" s="51">
        <v>100386.84</v>
      </c>
      <c r="I1403" s="50"/>
      <c r="J1403" s="58"/>
      <c r="K1403" s="52"/>
      <c r="L1403" s="59"/>
      <c r="M1403" s="60"/>
      <c r="N1403" s="66"/>
      <c r="O1403" s="59"/>
      <c r="P1403" s="59"/>
      <c r="Q1403" s="51"/>
      <c r="R1403" s="51">
        <f t="shared" si="51"/>
        <v>0</v>
      </c>
      <c r="S1403" s="51"/>
      <c r="T1403" s="52" t="s">
        <v>4293</v>
      </c>
      <c r="U1403" s="51">
        <v>238342.22</v>
      </c>
      <c r="V1403" s="51"/>
      <c r="W1403" s="51"/>
      <c r="X1403" s="51">
        <v>238342.22</v>
      </c>
      <c r="Y1403" s="19" t="s">
        <v>4304</v>
      </c>
      <c r="Z1403" s="19" t="s">
        <v>4307</v>
      </c>
      <c r="AA1403" s="28"/>
      <c r="AB1403" s="56"/>
      <c r="AC1403" s="28"/>
      <c r="AD1403" s="28"/>
      <c r="AE1403" s="54"/>
      <c r="AF1403" s="54"/>
      <c r="AG1403" s="54"/>
      <c r="AH1403" s="53"/>
      <c r="AI1403" s="53" t="s">
        <v>1591</v>
      </c>
      <c r="AJ1403" s="53" t="s">
        <v>1591</v>
      </c>
    </row>
    <row r="1404" spans="1:36" s="3" customFormat="1" ht="24" x14ac:dyDescent="0.25">
      <c r="A1404" s="17" t="s">
        <v>1965</v>
      </c>
      <c r="B1404" s="18" t="s">
        <v>37</v>
      </c>
      <c r="C1404" s="19"/>
      <c r="D1404" s="65" t="s">
        <v>4090</v>
      </c>
      <c r="E1404" s="50" t="s">
        <v>4242</v>
      </c>
      <c r="F1404" s="58" t="s">
        <v>1249</v>
      </c>
      <c r="G1404" s="51">
        <v>4516115.7</v>
      </c>
      <c r="H1404" s="51">
        <v>421148.65</v>
      </c>
      <c r="I1404" s="50"/>
      <c r="J1404" s="58"/>
      <c r="K1404" s="52"/>
      <c r="L1404" s="59"/>
      <c r="M1404" s="60"/>
      <c r="N1404" s="66"/>
      <c r="O1404" s="59"/>
      <c r="P1404" s="59"/>
      <c r="Q1404" s="51"/>
      <c r="R1404" s="51">
        <f t="shared" si="51"/>
        <v>0</v>
      </c>
      <c r="S1404" s="51"/>
      <c r="T1404" s="52" t="s">
        <v>4293</v>
      </c>
      <c r="U1404" s="51">
        <v>371978.25</v>
      </c>
      <c r="V1404" s="51"/>
      <c r="W1404" s="51"/>
      <c r="X1404" s="51">
        <v>371978.25</v>
      </c>
      <c r="Y1404" s="19" t="s">
        <v>4301</v>
      </c>
      <c r="Z1404" s="19" t="s">
        <v>4307</v>
      </c>
      <c r="AA1404" s="28"/>
      <c r="AB1404" s="56"/>
      <c r="AC1404" s="28"/>
      <c r="AD1404" s="28"/>
      <c r="AE1404" s="54"/>
      <c r="AF1404" s="54"/>
      <c r="AG1404" s="54"/>
      <c r="AH1404" s="53"/>
      <c r="AI1404" s="53" t="s">
        <v>1591</v>
      </c>
      <c r="AJ1404" s="53" t="s">
        <v>1591</v>
      </c>
    </row>
    <row r="1405" spans="1:36" s="3" customFormat="1" ht="48" x14ac:dyDescent="0.25">
      <c r="A1405" s="17" t="s">
        <v>1965</v>
      </c>
      <c r="B1405" s="18" t="s">
        <v>37</v>
      </c>
      <c r="C1405" s="19"/>
      <c r="D1405" s="65" t="s">
        <v>4098</v>
      </c>
      <c r="E1405" s="50" t="s">
        <v>581</v>
      </c>
      <c r="F1405" s="58" t="s">
        <v>4244</v>
      </c>
      <c r="G1405" s="51">
        <v>1990587.74</v>
      </c>
      <c r="H1405" s="51">
        <v>0</v>
      </c>
      <c r="I1405" s="50"/>
      <c r="J1405" s="58"/>
      <c r="K1405" s="52"/>
      <c r="L1405" s="59"/>
      <c r="M1405" s="60"/>
      <c r="N1405" s="66"/>
      <c r="O1405" s="59"/>
      <c r="P1405" s="59"/>
      <c r="Q1405" s="51"/>
      <c r="R1405" s="51">
        <f t="shared" si="51"/>
        <v>0</v>
      </c>
      <c r="S1405" s="51"/>
      <c r="T1405" s="52" t="s">
        <v>4293</v>
      </c>
      <c r="U1405" s="51">
        <v>1242531.01</v>
      </c>
      <c r="V1405" s="51"/>
      <c r="W1405" s="51"/>
      <c r="X1405" s="51">
        <v>1242531.01</v>
      </c>
      <c r="Y1405" s="19" t="s">
        <v>4304</v>
      </c>
      <c r="Z1405" s="19" t="s">
        <v>4307</v>
      </c>
      <c r="AA1405" s="28"/>
      <c r="AB1405" s="56"/>
      <c r="AC1405" s="28"/>
      <c r="AD1405" s="28"/>
      <c r="AE1405" s="54"/>
      <c r="AF1405" s="54"/>
      <c r="AG1405" s="54"/>
      <c r="AH1405" s="53"/>
      <c r="AI1405" s="53" t="s">
        <v>1591</v>
      </c>
      <c r="AJ1405" s="53" t="s">
        <v>1591</v>
      </c>
    </row>
    <row r="1406" spans="1:36" s="3" customFormat="1" ht="60" x14ac:dyDescent="0.25">
      <c r="A1406" s="17" t="s">
        <v>1965</v>
      </c>
      <c r="B1406" s="18" t="s">
        <v>37</v>
      </c>
      <c r="C1406" s="19"/>
      <c r="D1406" s="65" t="s">
        <v>4092</v>
      </c>
      <c r="E1406" s="50" t="s">
        <v>435</v>
      </c>
      <c r="F1406" s="58" t="s">
        <v>4244</v>
      </c>
      <c r="G1406" s="51">
        <v>1422593.66</v>
      </c>
      <c r="H1406" s="51">
        <v>229464.42</v>
      </c>
      <c r="I1406" s="50"/>
      <c r="J1406" s="58"/>
      <c r="K1406" s="52"/>
      <c r="L1406" s="59"/>
      <c r="M1406" s="60"/>
      <c r="N1406" s="66"/>
      <c r="O1406" s="59"/>
      <c r="P1406" s="59"/>
      <c r="Q1406" s="51"/>
      <c r="R1406" s="51">
        <f t="shared" si="51"/>
        <v>0</v>
      </c>
      <c r="S1406" s="51"/>
      <c r="T1406" s="52" t="s">
        <v>4293</v>
      </c>
      <c r="U1406" s="51">
        <v>1432698.34</v>
      </c>
      <c r="V1406" s="51"/>
      <c r="W1406" s="51"/>
      <c r="X1406" s="51">
        <v>1432698.34</v>
      </c>
      <c r="Y1406" s="19" t="s">
        <v>4303</v>
      </c>
      <c r="Z1406" s="19" t="s">
        <v>4307</v>
      </c>
      <c r="AA1406" s="28"/>
      <c r="AB1406" s="56"/>
      <c r="AC1406" s="28"/>
      <c r="AD1406" s="28"/>
      <c r="AE1406" s="54"/>
      <c r="AF1406" s="54"/>
      <c r="AG1406" s="54"/>
      <c r="AH1406" s="53"/>
      <c r="AI1406" s="53" t="s">
        <v>1591</v>
      </c>
      <c r="AJ1406" s="53" t="s">
        <v>1591</v>
      </c>
    </row>
    <row r="1407" spans="1:36" s="3" customFormat="1" ht="120" x14ac:dyDescent="0.25">
      <c r="A1407" s="17" t="s">
        <v>1965</v>
      </c>
      <c r="B1407" s="18" t="s">
        <v>37</v>
      </c>
      <c r="C1407" s="19"/>
      <c r="D1407" s="45" t="s">
        <v>4084</v>
      </c>
      <c r="E1407" s="50" t="s">
        <v>4234</v>
      </c>
      <c r="F1407" s="58" t="s">
        <v>4235</v>
      </c>
      <c r="G1407" s="51">
        <v>2710000</v>
      </c>
      <c r="H1407" s="51">
        <v>318260</v>
      </c>
      <c r="I1407" s="50"/>
      <c r="J1407" s="58"/>
      <c r="K1407" s="52"/>
      <c r="L1407" s="59"/>
      <c r="M1407" s="60"/>
      <c r="N1407" s="51"/>
      <c r="O1407" s="59"/>
      <c r="P1407" s="59"/>
      <c r="Q1407" s="51"/>
      <c r="R1407" s="51">
        <f t="shared" si="51"/>
        <v>0</v>
      </c>
      <c r="S1407" s="51"/>
      <c r="T1407" s="52" t="s">
        <v>4293</v>
      </c>
      <c r="U1407" s="51">
        <v>2235033.6800000002</v>
      </c>
      <c r="V1407" s="51"/>
      <c r="W1407" s="51"/>
      <c r="X1407" s="51">
        <v>2235033.6800000002</v>
      </c>
      <c r="Y1407" s="19" t="s">
        <v>4296</v>
      </c>
      <c r="Z1407" s="19" t="s">
        <v>4307</v>
      </c>
      <c r="AA1407" s="28"/>
      <c r="AB1407" s="56"/>
      <c r="AC1407" s="28"/>
      <c r="AD1407" s="28"/>
      <c r="AE1407" s="54"/>
      <c r="AF1407" s="54"/>
      <c r="AG1407" s="54"/>
      <c r="AH1407" s="53"/>
      <c r="AI1407" s="53" t="s">
        <v>1591</v>
      </c>
      <c r="AJ1407" s="53" t="s">
        <v>1591</v>
      </c>
    </row>
    <row r="1408" spans="1:36" s="3" customFormat="1" ht="36" x14ac:dyDescent="0.25">
      <c r="A1408" s="17" t="s">
        <v>1965</v>
      </c>
      <c r="B1408" s="18" t="s">
        <v>37</v>
      </c>
      <c r="C1408" s="19"/>
      <c r="D1408" s="45" t="s">
        <v>4089</v>
      </c>
      <c r="E1408" s="50" t="s">
        <v>4241</v>
      </c>
      <c r="F1408" s="58" t="s">
        <v>1249</v>
      </c>
      <c r="G1408" s="51">
        <v>3163400</v>
      </c>
      <c r="H1408" s="51">
        <v>131808.32999999999</v>
      </c>
      <c r="I1408" s="50"/>
      <c r="J1408" s="58"/>
      <c r="K1408" s="52"/>
      <c r="L1408" s="59"/>
      <c r="M1408" s="60"/>
      <c r="N1408" s="51"/>
      <c r="O1408" s="59"/>
      <c r="P1408" s="59"/>
      <c r="Q1408" s="51"/>
      <c r="R1408" s="51">
        <f t="shared" si="51"/>
        <v>0</v>
      </c>
      <c r="S1408" s="51"/>
      <c r="T1408" s="52" t="s">
        <v>4293</v>
      </c>
      <c r="U1408" s="51">
        <v>2404953.65</v>
      </c>
      <c r="V1408" s="51"/>
      <c r="W1408" s="51"/>
      <c r="X1408" s="51">
        <v>2404953.65</v>
      </c>
      <c r="Y1408" s="19" t="s">
        <v>4301</v>
      </c>
      <c r="Z1408" s="19" t="s">
        <v>4307</v>
      </c>
      <c r="AA1408" s="28"/>
      <c r="AB1408" s="56"/>
      <c r="AC1408" s="28"/>
      <c r="AD1408" s="28"/>
      <c r="AE1408" s="54"/>
      <c r="AF1408" s="54"/>
      <c r="AG1408" s="54"/>
      <c r="AH1408" s="53"/>
      <c r="AI1408" s="53" t="s">
        <v>1591</v>
      </c>
      <c r="AJ1408" s="53" t="s">
        <v>1591</v>
      </c>
    </row>
    <row r="1409" spans="1:36" s="3" customFormat="1" ht="24" x14ac:dyDescent="0.25">
      <c r="A1409" s="17" t="s">
        <v>1965</v>
      </c>
      <c r="B1409" s="18" t="s">
        <v>37</v>
      </c>
      <c r="C1409" s="19"/>
      <c r="D1409" s="45" t="s">
        <v>4082</v>
      </c>
      <c r="E1409" s="50" t="s">
        <v>4231</v>
      </c>
      <c r="F1409" s="58" t="s">
        <v>1249</v>
      </c>
      <c r="G1409" s="51">
        <v>987600</v>
      </c>
      <c r="H1409" s="51">
        <v>30000</v>
      </c>
      <c r="I1409" s="50"/>
      <c r="J1409" s="58"/>
      <c r="K1409" s="52"/>
      <c r="L1409" s="59"/>
      <c r="M1409" s="60"/>
      <c r="N1409" s="51"/>
      <c r="O1409" s="59"/>
      <c r="P1409" s="59"/>
      <c r="Q1409" s="51"/>
      <c r="R1409" s="51">
        <f t="shared" si="51"/>
        <v>0</v>
      </c>
      <c r="S1409" s="51"/>
      <c r="T1409" s="52" t="s">
        <v>4293</v>
      </c>
      <c r="U1409" s="51"/>
      <c r="V1409" s="51"/>
      <c r="W1409" s="51"/>
      <c r="X1409" s="51"/>
      <c r="Y1409" s="19" t="s">
        <v>4295</v>
      </c>
      <c r="Z1409" s="19" t="s">
        <v>4307</v>
      </c>
      <c r="AA1409" s="28"/>
      <c r="AB1409" s="56"/>
      <c r="AC1409" s="28"/>
      <c r="AD1409" s="28"/>
      <c r="AE1409" s="54"/>
      <c r="AF1409" s="54"/>
      <c r="AG1409" s="54"/>
      <c r="AH1409" s="53"/>
      <c r="AI1409" s="53" t="s">
        <v>1591</v>
      </c>
      <c r="AJ1409" s="53" t="s">
        <v>1591</v>
      </c>
    </row>
    <row r="1410" spans="1:36" s="3" customFormat="1" ht="48" x14ac:dyDescent="0.25">
      <c r="A1410" s="17" t="s">
        <v>1965</v>
      </c>
      <c r="B1410" s="18" t="s">
        <v>37</v>
      </c>
      <c r="C1410" s="19"/>
      <c r="D1410" s="45" t="s">
        <v>4094</v>
      </c>
      <c r="E1410" s="50" t="s">
        <v>652</v>
      </c>
      <c r="F1410" s="58" t="s">
        <v>4244</v>
      </c>
      <c r="G1410" s="51">
        <v>300000</v>
      </c>
      <c r="H1410" s="51">
        <v>169053.98</v>
      </c>
      <c r="I1410" s="50"/>
      <c r="J1410" s="58"/>
      <c r="K1410" s="52"/>
      <c r="L1410" s="59"/>
      <c r="M1410" s="60"/>
      <c r="N1410" s="51"/>
      <c r="O1410" s="59"/>
      <c r="P1410" s="59"/>
      <c r="Q1410" s="51"/>
      <c r="R1410" s="51">
        <f t="shared" si="51"/>
        <v>0</v>
      </c>
      <c r="S1410" s="51"/>
      <c r="T1410" s="52" t="s">
        <v>4293</v>
      </c>
      <c r="U1410" s="51">
        <v>91601.7</v>
      </c>
      <c r="V1410" s="51"/>
      <c r="W1410" s="51"/>
      <c r="X1410" s="51">
        <v>91601.7</v>
      </c>
      <c r="Y1410" s="19" t="s">
        <v>4304</v>
      </c>
      <c r="Z1410" s="19" t="s">
        <v>4307</v>
      </c>
      <c r="AA1410" s="28"/>
      <c r="AB1410" s="56"/>
      <c r="AC1410" s="28"/>
      <c r="AD1410" s="28"/>
      <c r="AE1410" s="54"/>
      <c r="AF1410" s="54"/>
      <c r="AG1410" s="54"/>
      <c r="AH1410" s="53"/>
      <c r="AI1410" s="53" t="s">
        <v>1591</v>
      </c>
      <c r="AJ1410" s="53" t="s">
        <v>1591</v>
      </c>
    </row>
    <row r="1411" spans="1:36" s="3" customFormat="1" ht="48" x14ac:dyDescent="0.25">
      <c r="A1411" s="17" t="s">
        <v>1965</v>
      </c>
      <c r="B1411" s="18" t="s">
        <v>37</v>
      </c>
      <c r="C1411" s="19"/>
      <c r="D1411" s="45" t="s">
        <v>4093</v>
      </c>
      <c r="E1411" s="50" t="s">
        <v>191</v>
      </c>
      <c r="F1411" s="58" t="s">
        <v>4244</v>
      </c>
      <c r="G1411" s="51">
        <v>480000</v>
      </c>
      <c r="H1411" s="51">
        <v>120000</v>
      </c>
      <c r="I1411" s="50"/>
      <c r="J1411" s="58"/>
      <c r="K1411" s="52"/>
      <c r="L1411" s="59"/>
      <c r="M1411" s="60"/>
      <c r="N1411" s="51"/>
      <c r="O1411" s="59"/>
      <c r="P1411" s="59"/>
      <c r="Q1411" s="51"/>
      <c r="R1411" s="51">
        <f t="shared" si="51"/>
        <v>0</v>
      </c>
      <c r="S1411" s="51"/>
      <c r="T1411" s="52" t="s">
        <v>4293</v>
      </c>
      <c r="U1411" s="51">
        <v>182859.74</v>
      </c>
      <c r="V1411" s="51"/>
      <c r="W1411" s="51"/>
      <c r="X1411" s="51">
        <v>182859.74</v>
      </c>
      <c r="Y1411" s="19" t="s">
        <v>4304</v>
      </c>
      <c r="Z1411" s="19" t="s">
        <v>4307</v>
      </c>
      <c r="AA1411" s="28"/>
      <c r="AB1411" s="56"/>
      <c r="AC1411" s="28"/>
      <c r="AD1411" s="28"/>
      <c r="AE1411" s="54"/>
      <c r="AF1411" s="54"/>
      <c r="AG1411" s="54"/>
      <c r="AH1411" s="53"/>
      <c r="AI1411" s="53" t="s">
        <v>1591</v>
      </c>
      <c r="AJ1411" s="53" t="s">
        <v>1591</v>
      </c>
    </row>
    <row r="1412" spans="1:36" s="3" customFormat="1" ht="36" x14ac:dyDescent="0.25">
      <c r="A1412" s="17" t="s">
        <v>1965</v>
      </c>
      <c r="B1412" s="18" t="s">
        <v>37</v>
      </c>
      <c r="C1412" s="19"/>
      <c r="D1412" s="45" t="s">
        <v>4086</v>
      </c>
      <c r="E1412" s="50" t="s">
        <v>4237</v>
      </c>
      <c r="F1412" s="58" t="s">
        <v>4238</v>
      </c>
      <c r="G1412" s="51">
        <v>1500000</v>
      </c>
      <c r="H1412" s="51">
        <v>150000</v>
      </c>
      <c r="I1412" s="50"/>
      <c r="J1412" s="58"/>
      <c r="K1412" s="52"/>
      <c r="L1412" s="59"/>
      <c r="M1412" s="60"/>
      <c r="N1412" s="51"/>
      <c r="O1412" s="59"/>
      <c r="P1412" s="59"/>
      <c r="Q1412" s="51"/>
      <c r="R1412" s="51">
        <f t="shared" si="51"/>
        <v>0</v>
      </c>
      <c r="S1412" s="51"/>
      <c r="T1412" s="52" t="s">
        <v>4293</v>
      </c>
      <c r="U1412" s="51">
        <v>513253.55</v>
      </c>
      <c r="V1412" s="51"/>
      <c r="W1412" s="51"/>
      <c r="X1412" s="51">
        <v>513253.55</v>
      </c>
      <c r="Y1412" s="19" t="s">
        <v>4298</v>
      </c>
      <c r="Z1412" s="19" t="s">
        <v>4307</v>
      </c>
      <c r="AA1412" s="28"/>
      <c r="AB1412" s="56"/>
      <c r="AC1412" s="28"/>
      <c r="AD1412" s="28"/>
      <c r="AE1412" s="54"/>
      <c r="AF1412" s="54"/>
      <c r="AG1412" s="54"/>
      <c r="AH1412" s="53"/>
      <c r="AI1412" s="53" t="s">
        <v>1591</v>
      </c>
      <c r="AJ1412" s="53" t="s">
        <v>1591</v>
      </c>
    </row>
    <row r="1413" spans="1:36" s="3" customFormat="1" ht="36" x14ac:dyDescent="0.25">
      <c r="A1413" s="17" t="s">
        <v>1965</v>
      </c>
      <c r="B1413" s="18" t="s">
        <v>37</v>
      </c>
      <c r="C1413" s="19"/>
      <c r="D1413" s="45" t="s">
        <v>4083</v>
      </c>
      <c r="E1413" s="50" t="s">
        <v>4232</v>
      </c>
      <c r="F1413" s="58" t="s">
        <v>4233</v>
      </c>
      <c r="G1413" s="51">
        <v>243750</v>
      </c>
      <c r="H1413" s="51">
        <v>6250</v>
      </c>
      <c r="I1413" s="50"/>
      <c r="J1413" s="58"/>
      <c r="K1413" s="52"/>
      <c r="L1413" s="59"/>
      <c r="M1413" s="60"/>
      <c r="N1413" s="51"/>
      <c r="O1413" s="59"/>
      <c r="P1413" s="59"/>
      <c r="Q1413" s="51"/>
      <c r="R1413" s="51">
        <f t="shared" si="51"/>
        <v>0</v>
      </c>
      <c r="S1413" s="51"/>
      <c r="T1413" s="52" t="s">
        <v>4293</v>
      </c>
      <c r="U1413" s="51"/>
      <c r="V1413" s="51"/>
      <c r="W1413" s="51"/>
      <c r="X1413" s="51"/>
      <c r="Y1413" s="19" t="s">
        <v>4294</v>
      </c>
      <c r="Z1413" s="19" t="s">
        <v>4307</v>
      </c>
      <c r="AA1413" s="28"/>
      <c r="AB1413" s="56"/>
      <c r="AC1413" s="28"/>
      <c r="AD1413" s="28"/>
      <c r="AE1413" s="54"/>
      <c r="AF1413" s="54"/>
      <c r="AG1413" s="54"/>
      <c r="AH1413" s="53"/>
      <c r="AI1413" s="53" t="s">
        <v>1591</v>
      </c>
      <c r="AJ1413" s="53" t="s">
        <v>1591</v>
      </c>
    </row>
    <row r="1414" spans="1:36" s="3" customFormat="1" ht="120" x14ac:dyDescent="0.25">
      <c r="A1414" s="17" t="s">
        <v>1970</v>
      </c>
      <c r="B1414" s="18" t="s">
        <v>37</v>
      </c>
      <c r="C1414" s="19" t="s">
        <v>4099</v>
      </c>
      <c r="D1414" s="45" t="s">
        <v>4100</v>
      </c>
      <c r="E1414" s="50"/>
      <c r="F1414" s="58"/>
      <c r="G1414" s="51"/>
      <c r="H1414" s="51"/>
      <c r="I1414" s="50" t="s">
        <v>1549</v>
      </c>
      <c r="J1414" s="58" t="s">
        <v>2753</v>
      </c>
      <c r="K1414" s="52" t="s">
        <v>2754</v>
      </c>
      <c r="L1414" s="59">
        <v>41737</v>
      </c>
      <c r="M1414" s="60">
        <f>L1414+240</f>
        <v>41977</v>
      </c>
      <c r="N1414" s="51">
        <v>2367690.44</v>
      </c>
      <c r="O1414" s="59"/>
      <c r="P1414" s="59">
        <f>M1414+1200</f>
        <v>43177</v>
      </c>
      <c r="Q1414" s="51">
        <v>9951.69</v>
      </c>
      <c r="R1414" s="51">
        <f t="shared" si="51"/>
        <v>2377642.13</v>
      </c>
      <c r="S1414" s="51"/>
      <c r="T1414" s="52" t="s">
        <v>45</v>
      </c>
      <c r="U1414" s="51"/>
      <c r="V1414" s="51"/>
      <c r="W1414" s="51">
        <v>309496.8</v>
      </c>
      <c r="X1414" s="51"/>
      <c r="Y1414" s="19" t="s">
        <v>42</v>
      </c>
      <c r="Z1414" s="19"/>
      <c r="AA1414" s="28" t="s">
        <v>8110</v>
      </c>
      <c r="AB1414" s="56">
        <v>43417</v>
      </c>
      <c r="AC1414" s="28" t="s">
        <v>8111</v>
      </c>
      <c r="AD1414" s="28" t="s">
        <v>8112</v>
      </c>
      <c r="AE1414" s="54" t="s">
        <v>8113</v>
      </c>
      <c r="AF1414" s="54"/>
      <c r="AG1414" s="54" t="s">
        <v>8114</v>
      </c>
      <c r="AH1414" s="53" t="s">
        <v>1591</v>
      </c>
      <c r="AI1414" s="53" t="s">
        <v>2686</v>
      </c>
      <c r="AJ1414" s="53" t="s">
        <v>1591</v>
      </c>
    </row>
    <row r="1415" spans="1:36" s="3" customFormat="1" ht="108" x14ac:dyDescent="0.25">
      <c r="A1415" s="17" t="s">
        <v>1970</v>
      </c>
      <c r="B1415" s="18" t="s">
        <v>37</v>
      </c>
      <c r="C1415" s="76" t="s">
        <v>1975</v>
      </c>
      <c r="D1415" s="45" t="s">
        <v>6781</v>
      </c>
      <c r="E1415" s="78"/>
      <c r="F1415" s="79" t="s">
        <v>1363</v>
      </c>
      <c r="G1415" s="80"/>
      <c r="H1415" s="80"/>
      <c r="I1415" s="78" t="s">
        <v>6782</v>
      </c>
      <c r="J1415" s="79" t="s">
        <v>6783</v>
      </c>
      <c r="K1415" s="81" t="s">
        <v>6784</v>
      </c>
      <c r="L1415" s="82">
        <v>40661</v>
      </c>
      <c r="M1415" s="83">
        <v>40841</v>
      </c>
      <c r="N1415" s="80">
        <v>535284.47999999998</v>
      </c>
      <c r="O1415" s="82"/>
      <c r="P1415" s="84" t="s">
        <v>5049</v>
      </c>
      <c r="Q1415" s="80">
        <v>0</v>
      </c>
      <c r="R1415" s="80">
        <v>535284.47999999998</v>
      </c>
      <c r="S1415" s="80"/>
      <c r="T1415" s="81" t="s">
        <v>211</v>
      </c>
      <c r="U1415" s="80"/>
      <c r="V1415" s="80"/>
      <c r="W1415" s="80"/>
      <c r="X1415" s="80">
        <v>180123.82</v>
      </c>
      <c r="Y1415" s="76" t="s">
        <v>575</v>
      </c>
      <c r="Z1415" s="19" t="s">
        <v>7038</v>
      </c>
      <c r="AA1415" s="28" t="s">
        <v>8110</v>
      </c>
      <c r="AB1415" s="56">
        <v>43417</v>
      </c>
      <c r="AC1415" s="28" t="s">
        <v>8111</v>
      </c>
      <c r="AD1415" s="28" t="s">
        <v>8112</v>
      </c>
      <c r="AE1415" s="54" t="s">
        <v>8115</v>
      </c>
      <c r="AF1415" s="54"/>
      <c r="AG1415" s="54" t="s">
        <v>8116</v>
      </c>
      <c r="AH1415" s="53" t="s">
        <v>1591</v>
      </c>
      <c r="AI1415" s="53" t="s">
        <v>2686</v>
      </c>
      <c r="AJ1415" s="53" t="s">
        <v>1591</v>
      </c>
    </row>
    <row r="1416" spans="1:36" s="3" customFormat="1" ht="72" x14ac:dyDescent="0.25">
      <c r="A1416" s="17" t="s">
        <v>1970</v>
      </c>
      <c r="B1416" s="18" t="s">
        <v>37</v>
      </c>
      <c r="C1416" s="19" t="s">
        <v>1971</v>
      </c>
      <c r="D1416" s="45" t="s">
        <v>4101</v>
      </c>
      <c r="E1416" s="50"/>
      <c r="F1416" s="58"/>
      <c r="G1416" s="51"/>
      <c r="H1416" s="51"/>
      <c r="I1416" s="50" t="s">
        <v>1972</v>
      </c>
      <c r="J1416" s="58" t="s">
        <v>1973</v>
      </c>
      <c r="K1416" s="52" t="s">
        <v>1974</v>
      </c>
      <c r="L1416" s="59">
        <v>41883</v>
      </c>
      <c r="M1416" s="60">
        <f>L1416+150</f>
        <v>42033</v>
      </c>
      <c r="N1416" s="51">
        <v>517101.65</v>
      </c>
      <c r="O1416" s="59"/>
      <c r="P1416" s="59">
        <f>M1416+1200</f>
        <v>43233</v>
      </c>
      <c r="Q1416" s="51">
        <v>7672.88</v>
      </c>
      <c r="R1416" s="51">
        <f>N1416+Q1416</f>
        <v>524774.53</v>
      </c>
      <c r="S1416" s="51"/>
      <c r="T1416" s="52" t="s">
        <v>45</v>
      </c>
      <c r="U1416" s="51"/>
      <c r="V1416" s="51"/>
      <c r="W1416" s="51">
        <v>73982.98</v>
      </c>
      <c r="X1416" s="51"/>
      <c r="Y1416" s="19" t="s">
        <v>42</v>
      </c>
      <c r="Z1416" s="19"/>
      <c r="AA1416" s="28" t="s">
        <v>8110</v>
      </c>
      <c r="AB1416" s="56">
        <v>43417</v>
      </c>
      <c r="AC1416" s="28" t="s">
        <v>8111</v>
      </c>
      <c r="AD1416" s="28" t="s">
        <v>8112</v>
      </c>
      <c r="AE1416" s="54" t="s">
        <v>8117</v>
      </c>
      <c r="AF1416" s="54"/>
      <c r="AG1416" s="54" t="s">
        <v>8118</v>
      </c>
      <c r="AH1416" s="53" t="s">
        <v>1591</v>
      </c>
      <c r="AI1416" s="53" t="s">
        <v>2686</v>
      </c>
      <c r="AJ1416" s="53" t="s">
        <v>1591</v>
      </c>
    </row>
    <row r="1417" spans="1:36" s="3" customFormat="1" ht="60" x14ac:dyDescent="0.25">
      <c r="A1417" s="17" t="s">
        <v>1970</v>
      </c>
      <c r="B1417" s="18" t="s">
        <v>37</v>
      </c>
      <c r="C1417" s="76" t="s">
        <v>6785</v>
      </c>
      <c r="D1417" s="45" t="s">
        <v>6786</v>
      </c>
      <c r="E1417" s="78"/>
      <c r="F1417" s="79" t="s">
        <v>562</v>
      </c>
      <c r="G1417" s="80">
        <v>500000</v>
      </c>
      <c r="H1417" s="80">
        <v>16600</v>
      </c>
      <c r="I1417" s="78" t="s">
        <v>6787</v>
      </c>
      <c r="J1417" s="79" t="s">
        <v>6788</v>
      </c>
      <c r="K1417" s="81" t="s">
        <v>6789</v>
      </c>
      <c r="L1417" s="82">
        <v>40361</v>
      </c>
      <c r="M1417" s="83">
        <v>40451</v>
      </c>
      <c r="N1417" s="80">
        <v>508848.27</v>
      </c>
      <c r="O1417" s="82"/>
      <c r="P1417" s="84" t="s">
        <v>4369</v>
      </c>
      <c r="Q1417" s="80">
        <v>0</v>
      </c>
      <c r="R1417" s="80">
        <v>508848.27</v>
      </c>
      <c r="S1417" s="80"/>
      <c r="T1417" s="81" t="s">
        <v>211</v>
      </c>
      <c r="U1417" s="80"/>
      <c r="V1417" s="80"/>
      <c r="W1417" s="80"/>
      <c r="X1417" s="80">
        <v>213321.56</v>
      </c>
      <c r="Y1417" s="76" t="s">
        <v>575</v>
      </c>
      <c r="Z1417" s="19" t="s">
        <v>7038</v>
      </c>
      <c r="AA1417" s="28" t="s">
        <v>8110</v>
      </c>
      <c r="AB1417" s="56">
        <v>43417</v>
      </c>
      <c r="AC1417" s="28" t="s">
        <v>8111</v>
      </c>
      <c r="AD1417" s="28" t="s">
        <v>8112</v>
      </c>
      <c r="AE1417" s="54" t="s">
        <v>8119</v>
      </c>
      <c r="AF1417" s="54"/>
      <c r="AG1417" s="54" t="s">
        <v>8120</v>
      </c>
      <c r="AH1417" s="53" t="s">
        <v>1591</v>
      </c>
      <c r="AI1417" s="53" t="s">
        <v>2686</v>
      </c>
      <c r="AJ1417" s="53" t="s">
        <v>1591</v>
      </c>
    </row>
    <row r="1418" spans="1:36" s="3" customFormat="1" ht="108" x14ac:dyDescent="0.25">
      <c r="A1418" s="17" t="s">
        <v>1970</v>
      </c>
      <c r="B1418" s="18" t="s">
        <v>37</v>
      </c>
      <c r="C1418" s="76" t="s">
        <v>6790</v>
      </c>
      <c r="D1418" s="45" t="s">
        <v>6791</v>
      </c>
      <c r="E1418" s="78" t="s">
        <v>6792</v>
      </c>
      <c r="F1418" s="79" t="s">
        <v>565</v>
      </c>
      <c r="G1418" s="80"/>
      <c r="H1418" s="80"/>
      <c r="I1418" s="78" t="s">
        <v>4905</v>
      </c>
      <c r="J1418" s="79" t="s">
        <v>6793</v>
      </c>
      <c r="K1418" s="81" t="s">
        <v>6794</v>
      </c>
      <c r="L1418" s="82">
        <v>40385</v>
      </c>
      <c r="M1418" s="83">
        <v>40565</v>
      </c>
      <c r="N1418" s="80">
        <v>213746.6</v>
      </c>
      <c r="O1418" s="82"/>
      <c r="P1418" s="84" t="s">
        <v>5050</v>
      </c>
      <c r="Q1418" s="80">
        <v>0</v>
      </c>
      <c r="R1418" s="80">
        <v>213746.6</v>
      </c>
      <c r="S1418" s="80"/>
      <c r="T1418" s="81" t="s">
        <v>211</v>
      </c>
      <c r="U1418" s="80"/>
      <c r="V1418" s="80"/>
      <c r="W1418" s="80"/>
      <c r="X1418" s="80">
        <v>170665</v>
      </c>
      <c r="Y1418" s="76" t="s">
        <v>575</v>
      </c>
      <c r="Z1418" s="19" t="s">
        <v>7038</v>
      </c>
      <c r="AA1418" s="28" t="s">
        <v>8110</v>
      </c>
      <c r="AB1418" s="56">
        <v>43417</v>
      </c>
      <c r="AC1418" s="28" t="s">
        <v>8111</v>
      </c>
      <c r="AD1418" s="28" t="s">
        <v>8112</v>
      </c>
      <c r="AE1418" s="54" t="s">
        <v>8115</v>
      </c>
      <c r="AF1418" s="54"/>
      <c r="AG1418" s="54" t="s">
        <v>8121</v>
      </c>
      <c r="AH1418" s="53" t="s">
        <v>1591</v>
      </c>
      <c r="AI1418" s="53" t="s">
        <v>2686</v>
      </c>
      <c r="AJ1418" s="53" t="s">
        <v>1591</v>
      </c>
    </row>
    <row r="1419" spans="1:36" s="3" customFormat="1" ht="120" x14ac:dyDescent="0.25">
      <c r="A1419" s="35" t="s">
        <v>2876</v>
      </c>
      <c r="B1419" s="18" t="s">
        <v>37</v>
      </c>
      <c r="C1419" s="76" t="s">
        <v>709</v>
      </c>
      <c r="D1419" s="43" t="s">
        <v>6797</v>
      </c>
      <c r="E1419" s="78"/>
      <c r="F1419" s="36"/>
      <c r="G1419" s="80"/>
      <c r="H1419" s="80"/>
      <c r="I1419" s="36" t="s">
        <v>492</v>
      </c>
      <c r="J1419" s="34" t="s">
        <v>1977</v>
      </c>
      <c r="K1419" s="37" t="s">
        <v>62</v>
      </c>
      <c r="L1419" s="38" t="s">
        <v>2875</v>
      </c>
      <c r="M1419" s="39">
        <v>41918</v>
      </c>
      <c r="N1419" s="42">
        <v>588250.04</v>
      </c>
      <c r="O1419" s="85"/>
      <c r="P1419" s="86">
        <v>42128</v>
      </c>
      <c r="Q1419" s="41"/>
      <c r="R1419" s="41">
        <v>588250.04</v>
      </c>
      <c r="S1419" s="80"/>
      <c r="T1419" s="81"/>
      <c r="U1419" s="80"/>
      <c r="V1419" s="80"/>
      <c r="W1419" s="42"/>
      <c r="X1419" s="42">
        <v>158091.93</v>
      </c>
      <c r="Y1419" s="34" t="s">
        <v>4321</v>
      </c>
      <c r="Z1419" s="19" t="s">
        <v>7038</v>
      </c>
      <c r="AA1419" s="28" t="s">
        <v>8122</v>
      </c>
      <c r="AB1419" s="56">
        <v>43412</v>
      </c>
      <c r="AC1419" s="28" t="s">
        <v>8123</v>
      </c>
      <c r="AD1419" s="28" t="s">
        <v>8124</v>
      </c>
      <c r="AE1419" s="54" t="s">
        <v>8374</v>
      </c>
      <c r="AF1419" s="54"/>
      <c r="AG1419" s="54" t="s">
        <v>8125</v>
      </c>
      <c r="AH1419" s="53" t="s">
        <v>1591</v>
      </c>
      <c r="AI1419" s="53" t="s">
        <v>2686</v>
      </c>
      <c r="AJ1419" s="53" t="s">
        <v>1591</v>
      </c>
    </row>
    <row r="1420" spans="1:36" s="3" customFormat="1" ht="96" x14ac:dyDescent="0.25">
      <c r="A1420" s="17" t="s">
        <v>1976</v>
      </c>
      <c r="B1420" s="18" t="s">
        <v>37</v>
      </c>
      <c r="C1420" s="76" t="s">
        <v>6798</v>
      </c>
      <c r="D1420" s="45" t="s">
        <v>6799</v>
      </c>
      <c r="E1420" s="78" t="s">
        <v>6800</v>
      </c>
      <c r="F1420" s="79" t="s">
        <v>6796</v>
      </c>
      <c r="G1420" s="80">
        <v>350000</v>
      </c>
      <c r="H1420" s="80">
        <v>17500</v>
      </c>
      <c r="I1420" s="78" t="s">
        <v>8375</v>
      </c>
      <c r="J1420" s="79" t="s">
        <v>6801</v>
      </c>
      <c r="K1420" s="81" t="s">
        <v>6802</v>
      </c>
      <c r="L1420" s="82">
        <v>40724</v>
      </c>
      <c r="M1420" s="83">
        <v>40904</v>
      </c>
      <c r="N1420" s="80">
        <v>338131.82</v>
      </c>
      <c r="O1420" s="82"/>
      <c r="P1420" s="84" t="s">
        <v>6803</v>
      </c>
      <c r="Q1420" s="80">
        <v>-511.17999999999302</v>
      </c>
      <c r="R1420" s="80">
        <v>337620.64</v>
      </c>
      <c r="S1420" s="80"/>
      <c r="T1420" s="81" t="s">
        <v>52</v>
      </c>
      <c r="U1420" s="80"/>
      <c r="V1420" s="80"/>
      <c r="W1420" s="80"/>
      <c r="X1420" s="80">
        <v>275955.06</v>
      </c>
      <c r="Y1420" s="76" t="s">
        <v>33</v>
      </c>
      <c r="Z1420" s="19" t="s">
        <v>7038</v>
      </c>
      <c r="AA1420" s="28" t="s">
        <v>8122</v>
      </c>
      <c r="AB1420" s="56">
        <v>43412</v>
      </c>
      <c r="AC1420" s="28" t="s">
        <v>8123</v>
      </c>
      <c r="AD1420" s="28" t="s">
        <v>8124</v>
      </c>
      <c r="AE1420" s="54" t="s">
        <v>8376</v>
      </c>
      <c r="AF1420" s="54"/>
      <c r="AG1420" s="54" t="s">
        <v>8126</v>
      </c>
      <c r="AH1420" s="53" t="s">
        <v>1591</v>
      </c>
      <c r="AI1420" s="53" t="s">
        <v>2686</v>
      </c>
      <c r="AJ1420" s="53" t="s">
        <v>1591</v>
      </c>
    </row>
    <row r="1421" spans="1:36" s="3" customFormat="1" ht="168" x14ac:dyDescent="0.25">
      <c r="A1421" s="17" t="s">
        <v>1976</v>
      </c>
      <c r="B1421" s="18" t="s">
        <v>37</v>
      </c>
      <c r="C1421" s="76" t="s">
        <v>6805</v>
      </c>
      <c r="D1421" s="45" t="s">
        <v>6806</v>
      </c>
      <c r="E1421" s="78"/>
      <c r="F1421" s="79"/>
      <c r="G1421" s="80"/>
      <c r="H1421" s="80"/>
      <c r="I1421" s="78" t="s">
        <v>1979</v>
      </c>
      <c r="J1421" s="79" t="s">
        <v>1980</v>
      </c>
      <c r="K1421" s="81" t="s">
        <v>1104</v>
      </c>
      <c r="L1421" s="82">
        <v>42248</v>
      </c>
      <c r="M1421" s="83">
        <v>42308</v>
      </c>
      <c r="N1421" s="80">
        <v>144631.25</v>
      </c>
      <c r="O1421" s="82"/>
      <c r="P1421" s="84" t="s">
        <v>6795</v>
      </c>
      <c r="Q1421" s="80">
        <v>0</v>
      </c>
      <c r="R1421" s="80">
        <v>144631.25</v>
      </c>
      <c r="S1421" s="80"/>
      <c r="T1421" s="81" t="s">
        <v>448</v>
      </c>
      <c r="U1421" s="80"/>
      <c r="V1421" s="80"/>
      <c r="W1421" s="80"/>
      <c r="X1421" s="80">
        <v>77659.710000000006</v>
      </c>
      <c r="Y1421" s="76" t="s">
        <v>6807</v>
      </c>
      <c r="Z1421" s="19" t="s">
        <v>7038</v>
      </c>
      <c r="AA1421" s="28" t="s">
        <v>8122</v>
      </c>
      <c r="AB1421" s="56">
        <v>43412</v>
      </c>
      <c r="AC1421" s="28" t="s">
        <v>8123</v>
      </c>
      <c r="AD1421" s="28" t="s">
        <v>8124</v>
      </c>
      <c r="AE1421" s="54" t="s">
        <v>8377</v>
      </c>
      <c r="AF1421" s="54"/>
      <c r="AG1421" s="54" t="s">
        <v>8127</v>
      </c>
      <c r="AH1421" s="53" t="s">
        <v>1591</v>
      </c>
      <c r="AI1421" s="53" t="s">
        <v>2686</v>
      </c>
      <c r="AJ1421" s="53" t="s">
        <v>1591</v>
      </c>
    </row>
    <row r="1422" spans="1:36" s="3" customFormat="1" ht="84" x14ac:dyDescent="0.25">
      <c r="A1422" s="35" t="s">
        <v>1976</v>
      </c>
      <c r="B1422" s="18" t="s">
        <v>37</v>
      </c>
      <c r="C1422" s="76"/>
      <c r="D1422" s="43" t="s">
        <v>6808</v>
      </c>
      <c r="E1422" s="78"/>
      <c r="F1422" s="36"/>
      <c r="G1422" s="80"/>
      <c r="H1422" s="80"/>
      <c r="I1422" s="36" t="s">
        <v>1301</v>
      </c>
      <c r="J1422" s="34" t="s">
        <v>6804</v>
      </c>
      <c r="K1422" s="37" t="s">
        <v>969</v>
      </c>
      <c r="L1422" s="38" t="s">
        <v>6809</v>
      </c>
      <c r="M1422" s="39">
        <v>41527</v>
      </c>
      <c r="N1422" s="42">
        <v>66860.47</v>
      </c>
      <c r="O1422" s="85"/>
      <c r="P1422" s="86">
        <v>41587</v>
      </c>
      <c r="Q1422" s="41">
        <v>10073.85</v>
      </c>
      <c r="R1422" s="41">
        <v>76934.320000000007</v>
      </c>
      <c r="S1422" s="80"/>
      <c r="T1422" s="81"/>
      <c r="U1422" s="80"/>
      <c r="V1422" s="80"/>
      <c r="W1422" s="42"/>
      <c r="X1422" s="42"/>
      <c r="Y1422" s="34" t="s">
        <v>4321</v>
      </c>
      <c r="Z1422" s="19" t="s">
        <v>7038</v>
      </c>
      <c r="AA1422" s="28" t="s">
        <v>8122</v>
      </c>
      <c r="AB1422" s="56">
        <v>43412</v>
      </c>
      <c r="AC1422" s="28" t="s">
        <v>8123</v>
      </c>
      <c r="AD1422" s="28" t="s">
        <v>8124</v>
      </c>
      <c r="AE1422" s="54" t="s">
        <v>8381</v>
      </c>
      <c r="AF1422" s="54"/>
      <c r="AG1422" s="54" t="s">
        <v>8378</v>
      </c>
      <c r="AH1422" s="53" t="s">
        <v>1591</v>
      </c>
      <c r="AI1422" s="53" t="s">
        <v>2686</v>
      </c>
      <c r="AJ1422" s="53" t="s">
        <v>1591</v>
      </c>
    </row>
    <row r="1423" spans="1:36" s="3" customFormat="1" ht="60" x14ac:dyDescent="0.25">
      <c r="A1423" s="35" t="s">
        <v>2876</v>
      </c>
      <c r="B1423" s="18" t="s">
        <v>37</v>
      </c>
      <c r="C1423" s="76"/>
      <c r="D1423" s="43" t="s">
        <v>6810</v>
      </c>
      <c r="E1423" s="78"/>
      <c r="F1423" s="36"/>
      <c r="G1423" s="80"/>
      <c r="H1423" s="80"/>
      <c r="I1423" s="36" t="s">
        <v>1984</v>
      </c>
      <c r="J1423" s="34" t="s">
        <v>6811</v>
      </c>
      <c r="K1423" s="37" t="s">
        <v>6139</v>
      </c>
      <c r="L1423" s="38" t="s">
        <v>6812</v>
      </c>
      <c r="M1423" s="39">
        <v>41640</v>
      </c>
      <c r="N1423" s="42">
        <v>74900</v>
      </c>
      <c r="O1423" s="85"/>
      <c r="P1423" s="86">
        <v>42336</v>
      </c>
      <c r="Q1423" s="41"/>
      <c r="R1423" s="41">
        <v>74900</v>
      </c>
      <c r="S1423" s="80"/>
      <c r="T1423" s="81"/>
      <c r="U1423" s="80"/>
      <c r="V1423" s="80"/>
      <c r="W1423" s="42"/>
      <c r="X1423" s="42"/>
      <c r="Y1423" s="34" t="s">
        <v>4321</v>
      </c>
      <c r="Z1423" s="19" t="s">
        <v>7038</v>
      </c>
      <c r="AA1423" s="28" t="s">
        <v>8122</v>
      </c>
      <c r="AB1423" s="56">
        <v>43412</v>
      </c>
      <c r="AC1423" s="28" t="s">
        <v>8123</v>
      </c>
      <c r="AD1423" s="28" t="s">
        <v>8124</v>
      </c>
      <c r="AE1423" s="54" t="s">
        <v>8382</v>
      </c>
      <c r="AF1423" s="54"/>
      <c r="AG1423" s="54" t="s">
        <v>8378</v>
      </c>
      <c r="AH1423" s="53" t="s">
        <v>1591</v>
      </c>
      <c r="AI1423" s="53" t="s">
        <v>2686</v>
      </c>
      <c r="AJ1423" s="53" t="s">
        <v>1591</v>
      </c>
    </row>
    <row r="1424" spans="1:36" s="3" customFormat="1" ht="48" x14ac:dyDescent="0.25">
      <c r="A1424" s="35" t="s">
        <v>2876</v>
      </c>
      <c r="B1424" s="18" t="s">
        <v>37</v>
      </c>
      <c r="C1424" s="76"/>
      <c r="D1424" s="43" t="s">
        <v>6813</v>
      </c>
      <c r="E1424" s="78"/>
      <c r="F1424" s="36"/>
      <c r="G1424" s="80"/>
      <c r="H1424" s="80"/>
      <c r="I1424" s="36" t="s">
        <v>6814</v>
      </c>
      <c r="J1424" s="34" t="s">
        <v>6815</v>
      </c>
      <c r="K1424" s="37" t="s">
        <v>1102</v>
      </c>
      <c r="L1424" s="38" t="s">
        <v>2784</v>
      </c>
      <c r="M1424" s="39">
        <v>42105</v>
      </c>
      <c r="N1424" s="42">
        <v>44316.42</v>
      </c>
      <c r="O1424" s="85"/>
      <c r="P1424" s="86">
        <v>42135</v>
      </c>
      <c r="Q1424" s="41"/>
      <c r="R1424" s="41">
        <v>44316.42</v>
      </c>
      <c r="S1424" s="80"/>
      <c r="T1424" s="81"/>
      <c r="U1424" s="80"/>
      <c r="V1424" s="80"/>
      <c r="W1424" s="42"/>
      <c r="X1424" s="42">
        <v>51869.38</v>
      </c>
      <c r="Y1424" s="34" t="s">
        <v>4321</v>
      </c>
      <c r="Z1424" s="19" t="s">
        <v>7038</v>
      </c>
      <c r="AA1424" s="28" t="s">
        <v>8122</v>
      </c>
      <c r="AB1424" s="56">
        <v>43412</v>
      </c>
      <c r="AC1424" s="28" t="s">
        <v>8123</v>
      </c>
      <c r="AD1424" s="28" t="s">
        <v>8124</v>
      </c>
      <c r="AE1424" s="54" t="s">
        <v>8380</v>
      </c>
      <c r="AF1424" s="54"/>
      <c r="AG1424" s="54" t="s">
        <v>8379</v>
      </c>
      <c r="AH1424" s="53" t="s">
        <v>1591</v>
      </c>
      <c r="AI1424" s="53" t="s">
        <v>2686</v>
      </c>
      <c r="AJ1424" s="53" t="s">
        <v>1591</v>
      </c>
    </row>
    <row r="1425" spans="1:36" s="3" customFormat="1" ht="60" x14ac:dyDescent="0.25">
      <c r="A1425" s="35" t="s">
        <v>2876</v>
      </c>
      <c r="B1425" s="18" t="s">
        <v>37</v>
      </c>
      <c r="C1425" s="76"/>
      <c r="D1425" s="43" t="s">
        <v>6816</v>
      </c>
      <c r="E1425" s="78"/>
      <c r="F1425" s="36"/>
      <c r="G1425" s="80"/>
      <c r="H1425" s="80"/>
      <c r="I1425" s="36" t="s">
        <v>6817</v>
      </c>
      <c r="J1425" s="34" t="s">
        <v>6818</v>
      </c>
      <c r="K1425" s="37" t="s">
        <v>6819</v>
      </c>
      <c r="L1425" s="38" t="s">
        <v>6820</v>
      </c>
      <c r="M1425" s="39">
        <v>42297</v>
      </c>
      <c r="N1425" s="42">
        <v>24383.96</v>
      </c>
      <c r="O1425" s="85"/>
      <c r="P1425" s="86">
        <v>42297</v>
      </c>
      <c r="Q1425" s="41"/>
      <c r="R1425" s="41">
        <v>24383.96</v>
      </c>
      <c r="S1425" s="80"/>
      <c r="T1425" s="81"/>
      <c r="U1425" s="80"/>
      <c r="V1425" s="80"/>
      <c r="W1425" s="42"/>
      <c r="X1425" s="42">
        <v>11614.89</v>
      </c>
      <c r="Y1425" s="34" t="s">
        <v>4321</v>
      </c>
      <c r="Z1425" s="19" t="s">
        <v>7038</v>
      </c>
      <c r="AA1425" s="28" t="s">
        <v>8122</v>
      </c>
      <c r="AB1425" s="56">
        <v>43412</v>
      </c>
      <c r="AC1425" s="28" t="s">
        <v>8123</v>
      </c>
      <c r="AD1425" s="28" t="s">
        <v>8124</v>
      </c>
      <c r="AE1425" s="54" t="s">
        <v>8382</v>
      </c>
      <c r="AF1425" s="54"/>
      <c r="AG1425" s="54" t="s">
        <v>8378</v>
      </c>
      <c r="AH1425" s="53" t="s">
        <v>1591</v>
      </c>
      <c r="AI1425" s="53" t="s">
        <v>2686</v>
      </c>
      <c r="AJ1425" s="53" t="s">
        <v>1591</v>
      </c>
    </row>
    <row r="1426" spans="1:36" s="3" customFormat="1" ht="36" x14ac:dyDescent="0.25">
      <c r="A1426" s="17" t="s">
        <v>1986</v>
      </c>
      <c r="B1426" s="18" t="s">
        <v>37</v>
      </c>
      <c r="C1426" s="19" t="s">
        <v>753</v>
      </c>
      <c r="D1426" s="45" t="s">
        <v>7002</v>
      </c>
      <c r="E1426" s="50"/>
      <c r="F1426" s="58"/>
      <c r="G1426" s="51"/>
      <c r="H1426" s="51"/>
      <c r="I1426" s="50" t="s">
        <v>1875</v>
      </c>
      <c r="J1426" s="58" t="s">
        <v>1876</v>
      </c>
      <c r="K1426" s="94" t="s">
        <v>4937</v>
      </c>
      <c r="L1426" s="59">
        <v>42549</v>
      </c>
      <c r="M1426" s="60">
        <v>42669</v>
      </c>
      <c r="N1426" s="51">
        <v>69930.36</v>
      </c>
      <c r="O1426" s="59">
        <v>42671</v>
      </c>
      <c r="P1426" s="92">
        <v>0</v>
      </c>
      <c r="Q1426" s="51">
        <v>0</v>
      </c>
      <c r="R1426" s="51">
        <v>69930.36</v>
      </c>
      <c r="S1426" s="51"/>
      <c r="T1426" s="52" t="s">
        <v>1499</v>
      </c>
      <c r="U1426" s="51">
        <v>0</v>
      </c>
      <c r="V1426" s="51"/>
      <c r="W1426" s="51"/>
      <c r="X1426" s="51">
        <v>0</v>
      </c>
      <c r="Y1426" s="19" t="s">
        <v>175</v>
      </c>
      <c r="Z1426" s="19" t="s">
        <v>7038</v>
      </c>
      <c r="AA1426" s="28" t="s">
        <v>8128</v>
      </c>
      <c r="AB1426" s="56">
        <v>43418</v>
      </c>
      <c r="AC1426" s="28" t="s">
        <v>8129</v>
      </c>
      <c r="AD1426" s="28" t="s">
        <v>8130</v>
      </c>
      <c r="AE1426" s="54" t="s">
        <v>8051</v>
      </c>
      <c r="AF1426" s="54"/>
      <c r="AG1426" s="54" t="s">
        <v>8131</v>
      </c>
      <c r="AH1426" s="53" t="s">
        <v>1591</v>
      </c>
      <c r="AI1426" s="53" t="s">
        <v>2686</v>
      </c>
      <c r="AJ1426" s="53" t="s">
        <v>1591</v>
      </c>
    </row>
    <row r="1427" spans="1:36" s="3" customFormat="1" ht="120" x14ac:dyDescent="0.25">
      <c r="A1427" s="17" t="s">
        <v>1987</v>
      </c>
      <c r="B1427" s="18" t="s">
        <v>37</v>
      </c>
      <c r="C1427" s="19" t="s">
        <v>34</v>
      </c>
      <c r="D1427" s="45" t="s">
        <v>2014</v>
      </c>
      <c r="E1427" s="50" t="s">
        <v>2013</v>
      </c>
      <c r="F1427" s="58" t="s">
        <v>43</v>
      </c>
      <c r="G1427" s="51">
        <v>509211.89</v>
      </c>
      <c r="H1427" s="51">
        <v>1118.3499999999999</v>
      </c>
      <c r="I1427" s="50" t="s">
        <v>651</v>
      </c>
      <c r="J1427" s="58" t="s">
        <v>1991</v>
      </c>
      <c r="K1427" s="52" t="s">
        <v>1851</v>
      </c>
      <c r="L1427" s="59">
        <v>42592</v>
      </c>
      <c r="M1427" s="60">
        <f>L1427+135</f>
        <v>42727</v>
      </c>
      <c r="N1427" s="51">
        <v>653659.64</v>
      </c>
      <c r="O1427" s="59">
        <v>42735</v>
      </c>
      <c r="P1427" s="59" t="s">
        <v>387</v>
      </c>
      <c r="Q1427" s="51"/>
      <c r="R1427" s="51">
        <f t="shared" ref="R1427:R1429" si="52">N1427+Q1427</f>
        <v>653659.64</v>
      </c>
      <c r="S1427" s="51" t="s">
        <v>1988</v>
      </c>
      <c r="T1427" s="52" t="s">
        <v>52</v>
      </c>
      <c r="U1427" s="51">
        <v>69162.7</v>
      </c>
      <c r="V1427" s="51">
        <v>0</v>
      </c>
      <c r="W1427" s="51">
        <v>0</v>
      </c>
      <c r="X1427" s="51">
        <v>69162.7</v>
      </c>
      <c r="Y1427" s="19" t="s">
        <v>498</v>
      </c>
      <c r="Z1427" s="19"/>
      <c r="AA1427" s="28" t="s">
        <v>8132</v>
      </c>
      <c r="AB1427" s="56">
        <v>43416</v>
      </c>
      <c r="AC1427" s="28" t="s">
        <v>8133</v>
      </c>
      <c r="AD1427" s="28" t="s">
        <v>8134</v>
      </c>
      <c r="AE1427" s="54" t="s">
        <v>8135</v>
      </c>
      <c r="AF1427" s="54"/>
      <c r="AG1427" s="54" t="s">
        <v>8136</v>
      </c>
      <c r="AH1427" s="53" t="s">
        <v>1591</v>
      </c>
      <c r="AI1427" s="53" t="s">
        <v>2686</v>
      </c>
      <c r="AJ1427" s="53" t="s">
        <v>1591</v>
      </c>
    </row>
    <row r="1428" spans="1:36" s="3" customFormat="1" ht="36" x14ac:dyDescent="0.25">
      <c r="A1428" s="17" t="s">
        <v>1987</v>
      </c>
      <c r="B1428" s="18" t="s">
        <v>37</v>
      </c>
      <c r="C1428" s="19" t="s">
        <v>2008</v>
      </c>
      <c r="D1428" s="45" t="s">
        <v>2009</v>
      </c>
      <c r="E1428" s="50" t="s">
        <v>4247</v>
      </c>
      <c r="F1428" s="58" t="s">
        <v>43</v>
      </c>
      <c r="G1428" s="51">
        <v>618324.69999999995</v>
      </c>
      <c r="H1428" s="51"/>
      <c r="I1428" s="50" t="s">
        <v>2010</v>
      </c>
      <c r="J1428" s="58" t="s">
        <v>2011</v>
      </c>
      <c r="K1428" s="52" t="s">
        <v>2012</v>
      </c>
      <c r="L1428" s="59" t="s">
        <v>2925</v>
      </c>
      <c r="M1428" s="60">
        <f>L1428+180</f>
        <v>41093</v>
      </c>
      <c r="N1428" s="51">
        <v>618324.69999999995</v>
      </c>
      <c r="O1428" s="59" t="s">
        <v>410</v>
      </c>
      <c r="P1428" s="59">
        <f>M1428+180</f>
        <v>41273</v>
      </c>
      <c r="Q1428" s="51">
        <v>19263.39</v>
      </c>
      <c r="R1428" s="51">
        <f t="shared" si="52"/>
        <v>637588.09</v>
      </c>
      <c r="S1428" s="51" t="s">
        <v>1988</v>
      </c>
      <c r="T1428" s="52" t="s">
        <v>448</v>
      </c>
      <c r="U1428" s="51">
        <v>0</v>
      </c>
      <c r="V1428" s="51">
        <v>0</v>
      </c>
      <c r="W1428" s="51">
        <v>0</v>
      </c>
      <c r="X1428" s="51">
        <v>522654.23</v>
      </c>
      <c r="Y1428" s="19" t="s">
        <v>498</v>
      </c>
      <c r="Z1428" s="19"/>
      <c r="AA1428" s="28" t="s">
        <v>8132</v>
      </c>
      <c r="AB1428" s="56">
        <v>43416</v>
      </c>
      <c r="AC1428" s="28" t="s">
        <v>8133</v>
      </c>
      <c r="AD1428" s="28" t="s">
        <v>8134</v>
      </c>
      <c r="AE1428" s="54" t="s">
        <v>8137</v>
      </c>
      <c r="AF1428" s="54"/>
      <c r="AG1428" s="54" t="s">
        <v>33</v>
      </c>
      <c r="AH1428" s="53" t="s">
        <v>1591</v>
      </c>
      <c r="AI1428" s="53" t="s">
        <v>2686</v>
      </c>
      <c r="AJ1428" s="53" t="s">
        <v>1591</v>
      </c>
    </row>
    <row r="1429" spans="1:36" s="3" customFormat="1" ht="24" x14ac:dyDescent="0.25">
      <c r="A1429" s="17" t="s">
        <v>1987</v>
      </c>
      <c r="B1429" s="18" t="s">
        <v>37</v>
      </c>
      <c r="C1429" s="19" t="s">
        <v>34</v>
      </c>
      <c r="D1429" s="45" t="s">
        <v>4104</v>
      </c>
      <c r="E1429" s="50" t="s">
        <v>4248</v>
      </c>
      <c r="F1429" s="58" t="s">
        <v>1004</v>
      </c>
      <c r="G1429" s="51">
        <v>0</v>
      </c>
      <c r="H1429" s="51"/>
      <c r="I1429" s="50" t="s">
        <v>2006</v>
      </c>
      <c r="J1429" s="58" t="s">
        <v>2007</v>
      </c>
      <c r="K1429" s="52" t="s">
        <v>434</v>
      </c>
      <c r="L1429" s="59">
        <v>42572</v>
      </c>
      <c r="M1429" s="60">
        <f>L1429+165</f>
        <v>42737</v>
      </c>
      <c r="N1429" s="51">
        <v>440546.8</v>
      </c>
      <c r="O1429" s="59">
        <v>42735</v>
      </c>
      <c r="P1429" s="59" t="s">
        <v>387</v>
      </c>
      <c r="Q1429" s="51"/>
      <c r="R1429" s="51">
        <f t="shared" si="52"/>
        <v>440546.8</v>
      </c>
      <c r="S1429" s="51" t="s">
        <v>387</v>
      </c>
      <c r="T1429" s="52" t="s">
        <v>52</v>
      </c>
      <c r="U1429" s="51">
        <v>103364.73</v>
      </c>
      <c r="V1429" s="51">
        <v>0</v>
      </c>
      <c r="W1429" s="51">
        <v>0</v>
      </c>
      <c r="X1429" s="51">
        <v>103364.73</v>
      </c>
      <c r="Y1429" s="19" t="s">
        <v>498</v>
      </c>
      <c r="Z1429" s="19"/>
      <c r="AA1429" s="28"/>
      <c r="AB1429" s="56"/>
      <c r="AC1429" s="28"/>
      <c r="AD1429" s="28"/>
      <c r="AE1429" s="54"/>
      <c r="AF1429" s="54"/>
      <c r="AG1429" s="54"/>
      <c r="AH1429" s="53"/>
      <c r="AI1429" s="53" t="s">
        <v>1591</v>
      </c>
      <c r="AJ1429" s="53" t="s">
        <v>1591</v>
      </c>
    </row>
    <row r="1430" spans="1:36" s="3" customFormat="1" ht="48" x14ac:dyDescent="0.25">
      <c r="A1430" s="17" t="s">
        <v>1987</v>
      </c>
      <c r="B1430" s="18" t="s">
        <v>37</v>
      </c>
      <c r="C1430" s="19" t="s">
        <v>680</v>
      </c>
      <c r="D1430" s="45" t="s">
        <v>4102</v>
      </c>
      <c r="E1430" s="50" t="s">
        <v>1988</v>
      </c>
      <c r="F1430" s="58" t="s">
        <v>1988</v>
      </c>
      <c r="G1430" s="51"/>
      <c r="H1430" s="51"/>
      <c r="I1430" s="50" t="s">
        <v>651</v>
      </c>
      <c r="J1430" s="58" t="s">
        <v>1991</v>
      </c>
      <c r="K1430" s="52" t="s">
        <v>1992</v>
      </c>
      <c r="L1430" s="59">
        <v>41962</v>
      </c>
      <c r="M1430" s="60">
        <f>L1430+90</f>
        <v>42052</v>
      </c>
      <c r="N1430" s="51">
        <v>181072.38</v>
      </c>
      <c r="O1430" s="59" t="s">
        <v>387</v>
      </c>
      <c r="P1430" s="59" t="s">
        <v>387</v>
      </c>
      <c r="Q1430" s="51"/>
      <c r="R1430" s="51">
        <f t="shared" ref="R1430:R1437" si="53">N1430+Q1430</f>
        <v>181072.38</v>
      </c>
      <c r="S1430" s="51" t="s">
        <v>1988</v>
      </c>
      <c r="T1430" s="52"/>
      <c r="U1430" s="51">
        <v>107177.52</v>
      </c>
      <c r="V1430" s="51">
        <v>0</v>
      </c>
      <c r="W1430" s="51">
        <v>0</v>
      </c>
      <c r="X1430" s="51">
        <v>107177.52</v>
      </c>
      <c r="Y1430" s="19" t="s">
        <v>149</v>
      </c>
      <c r="Z1430" s="19"/>
      <c r="AA1430" s="28" t="s">
        <v>8132</v>
      </c>
      <c r="AB1430" s="56">
        <v>43416</v>
      </c>
      <c r="AC1430" s="28" t="s">
        <v>8133</v>
      </c>
      <c r="AD1430" s="28" t="s">
        <v>8134</v>
      </c>
      <c r="AE1430" s="54" t="s">
        <v>8138</v>
      </c>
      <c r="AF1430" s="54"/>
      <c r="AG1430" s="54" t="s">
        <v>8139</v>
      </c>
      <c r="AH1430" s="53" t="s">
        <v>1591</v>
      </c>
      <c r="AI1430" s="53" t="s">
        <v>2686</v>
      </c>
      <c r="AJ1430" s="53" t="s">
        <v>1591</v>
      </c>
    </row>
    <row r="1431" spans="1:36" s="3" customFormat="1" ht="48" x14ac:dyDescent="0.25">
      <c r="A1431" s="17" t="s">
        <v>1987</v>
      </c>
      <c r="B1431" s="18" t="s">
        <v>37</v>
      </c>
      <c r="C1431" s="19" t="s">
        <v>784</v>
      </c>
      <c r="D1431" s="45" t="s">
        <v>1989</v>
      </c>
      <c r="E1431" s="50" t="s">
        <v>1990</v>
      </c>
      <c r="F1431" s="58" t="s">
        <v>955</v>
      </c>
      <c r="G1431" s="51">
        <v>182544.54</v>
      </c>
      <c r="H1431" s="51"/>
      <c r="I1431" s="50" t="s">
        <v>651</v>
      </c>
      <c r="J1431" s="58" t="s">
        <v>1991</v>
      </c>
      <c r="K1431" s="52" t="s">
        <v>1992</v>
      </c>
      <c r="L1431" s="59">
        <v>41962</v>
      </c>
      <c r="M1431" s="60">
        <f>L1431+90</f>
        <v>42052</v>
      </c>
      <c r="N1431" s="51">
        <v>181072.38</v>
      </c>
      <c r="O1431" s="59"/>
      <c r="P1431" s="59"/>
      <c r="Q1431" s="51"/>
      <c r="R1431" s="51">
        <f t="shared" si="53"/>
        <v>181072.38</v>
      </c>
      <c r="S1431" s="51"/>
      <c r="T1431" s="52" t="s">
        <v>448</v>
      </c>
      <c r="U1431" s="51">
        <v>107177.52</v>
      </c>
      <c r="V1431" s="51">
        <v>0</v>
      </c>
      <c r="W1431" s="51">
        <v>0</v>
      </c>
      <c r="X1431" s="51">
        <v>107177.52</v>
      </c>
      <c r="Y1431" s="19" t="s">
        <v>142</v>
      </c>
      <c r="Z1431" s="19"/>
      <c r="AA1431" s="28" t="s">
        <v>8132</v>
      </c>
      <c r="AB1431" s="56">
        <v>43416</v>
      </c>
      <c r="AC1431" s="28" t="s">
        <v>8133</v>
      </c>
      <c r="AD1431" s="28" t="s">
        <v>8134</v>
      </c>
      <c r="AE1431" s="54" t="s">
        <v>8138</v>
      </c>
      <c r="AF1431" s="54"/>
      <c r="AG1431" s="54" t="s">
        <v>8139</v>
      </c>
      <c r="AH1431" s="53" t="s">
        <v>1591</v>
      </c>
      <c r="AI1431" s="53" t="s">
        <v>2686</v>
      </c>
      <c r="AJ1431" s="53" t="s">
        <v>1591</v>
      </c>
    </row>
    <row r="1432" spans="1:36" s="3" customFormat="1" ht="180" x14ac:dyDescent="0.25">
      <c r="A1432" s="17" t="s">
        <v>1987</v>
      </c>
      <c r="B1432" s="18" t="s">
        <v>37</v>
      </c>
      <c r="C1432" s="19" t="s">
        <v>828</v>
      </c>
      <c r="D1432" s="45" t="s">
        <v>2004</v>
      </c>
      <c r="E1432" s="50" t="s">
        <v>2005</v>
      </c>
      <c r="F1432" s="58" t="s">
        <v>1004</v>
      </c>
      <c r="G1432" s="51">
        <v>180000</v>
      </c>
      <c r="H1432" s="51"/>
      <c r="I1432" s="50" t="s">
        <v>1997</v>
      </c>
      <c r="J1432" s="58" t="s">
        <v>1998</v>
      </c>
      <c r="K1432" s="52" t="s">
        <v>1592</v>
      </c>
      <c r="L1432" s="59">
        <v>41835</v>
      </c>
      <c r="M1432" s="60">
        <f>L1432+135</f>
        <v>41970</v>
      </c>
      <c r="N1432" s="51">
        <v>180000</v>
      </c>
      <c r="O1432" s="59">
        <v>42735</v>
      </c>
      <c r="P1432" s="59">
        <f>M1432+135</f>
        <v>42105</v>
      </c>
      <c r="Q1432" s="51"/>
      <c r="R1432" s="51">
        <f t="shared" si="53"/>
        <v>180000</v>
      </c>
      <c r="S1432" s="51" t="s">
        <v>387</v>
      </c>
      <c r="T1432" s="52" t="s">
        <v>448</v>
      </c>
      <c r="U1432" s="51">
        <v>24409.58</v>
      </c>
      <c r="V1432" s="51">
        <v>0</v>
      </c>
      <c r="W1432" s="51">
        <v>0</v>
      </c>
      <c r="X1432" s="51">
        <v>24409.58</v>
      </c>
      <c r="Y1432" s="19" t="s">
        <v>498</v>
      </c>
      <c r="Z1432" s="19"/>
      <c r="AA1432" s="28" t="s">
        <v>8132</v>
      </c>
      <c r="AB1432" s="56">
        <v>43416</v>
      </c>
      <c r="AC1432" s="28" t="s">
        <v>8133</v>
      </c>
      <c r="AD1432" s="28" t="s">
        <v>8134</v>
      </c>
      <c r="AE1432" s="54" t="s">
        <v>8140</v>
      </c>
      <c r="AF1432" s="54"/>
      <c r="AG1432" s="54" t="s">
        <v>8141</v>
      </c>
      <c r="AH1432" s="53" t="s">
        <v>1591</v>
      </c>
      <c r="AI1432" s="53" t="s">
        <v>2686</v>
      </c>
      <c r="AJ1432" s="53" t="s">
        <v>1591</v>
      </c>
    </row>
    <row r="1433" spans="1:36" s="3" customFormat="1" ht="180" x14ac:dyDescent="0.25">
      <c r="A1433" s="17" t="s">
        <v>1987</v>
      </c>
      <c r="B1433" s="18" t="s">
        <v>37</v>
      </c>
      <c r="C1433" s="19" t="s">
        <v>828</v>
      </c>
      <c r="D1433" s="45" t="s">
        <v>1999</v>
      </c>
      <c r="E1433" s="50" t="s">
        <v>2000</v>
      </c>
      <c r="F1433" s="58" t="s">
        <v>1004</v>
      </c>
      <c r="G1433" s="51">
        <v>180000</v>
      </c>
      <c r="H1433" s="51"/>
      <c r="I1433" s="50" t="s">
        <v>1997</v>
      </c>
      <c r="J1433" s="58" t="s">
        <v>1998</v>
      </c>
      <c r="K1433" s="52" t="s">
        <v>1592</v>
      </c>
      <c r="L1433" s="59">
        <v>41835</v>
      </c>
      <c r="M1433" s="60">
        <f>L1433+135</f>
        <v>41970</v>
      </c>
      <c r="N1433" s="51">
        <v>180000</v>
      </c>
      <c r="O1433" s="59" t="s">
        <v>387</v>
      </c>
      <c r="P1433" s="59">
        <f>M1433+135</f>
        <v>42105</v>
      </c>
      <c r="Q1433" s="51"/>
      <c r="R1433" s="51">
        <f t="shared" si="53"/>
        <v>180000</v>
      </c>
      <c r="S1433" s="51" t="s">
        <v>387</v>
      </c>
      <c r="T1433" s="52" t="s">
        <v>448</v>
      </c>
      <c r="U1433" s="51">
        <v>64947.07</v>
      </c>
      <c r="V1433" s="51">
        <v>0</v>
      </c>
      <c r="W1433" s="51">
        <v>0</v>
      </c>
      <c r="X1433" s="51">
        <v>64947.07</v>
      </c>
      <c r="Y1433" s="19" t="s">
        <v>498</v>
      </c>
      <c r="Z1433" s="19"/>
      <c r="AA1433" s="28" t="s">
        <v>8132</v>
      </c>
      <c r="AB1433" s="56">
        <v>43416</v>
      </c>
      <c r="AC1433" s="28" t="s">
        <v>8133</v>
      </c>
      <c r="AD1433" s="28" t="s">
        <v>8134</v>
      </c>
      <c r="AE1433" s="54" t="s">
        <v>8140</v>
      </c>
      <c r="AF1433" s="54"/>
      <c r="AG1433" s="54" t="s">
        <v>8141</v>
      </c>
      <c r="AH1433" s="53" t="s">
        <v>1591</v>
      </c>
      <c r="AI1433" s="53" t="s">
        <v>2686</v>
      </c>
      <c r="AJ1433" s="53" t="s">
        <v>1591</v>
      </c>
    </row>
    <row r="1434" spans="1:36" s="3" customFormat="1" ht="180" x14ac:dyDescent="0.25">
      <c r="A1434" s="17" t="s">
        <v>1987</v>
      </c>
      <c r="B1434" s="18" t="s">
        <v>37</v>
      </c>
      <c r="C1434" s="19" t="s">
        <v>828</v>
      </c>
      <c r="D1434" s="45" t="s">
        <v>2001</v>
      </c>
      <c r="E1434" s="50" t="s">
        <v>2002</v>
      </c>
      <c r="F1434" s="58" t="s">
        <v>1004</v>
      </c>
      <c r="G1434" s="51">
        <v>180000</v>
      </c>
      <c r="H1434" s="51"/>
      <c r="I1434" s="50" t="s">
        <v>1997</v>
      </c>
      <c r="J1434" s="58" t="s">
        <v>1998</v>
      </c>
      <c r="K1434" s="52" t="s">
        <v>1592</v>
      </c>
      <c r="L1434" s="59">
        <v>41835</v>
      </c>
      <c r="M1434" s="60">
        <f>L1434+135</f>
        <v>41970</v>
      </c>
      <c r="N1434" s="51">
        <v>130000</v>
      </c>
      <c r="O1434" s="59">
        <v>42735</v>
      </c>
      <c r="P1434" s="59">
        <f>M1434+135</f>
        <v>42105</v>
      </c>
      <c r="Q1434" s="51"/>
      <c r="R1434" s="51">
        <f t="shared" si="53"/>
        <v>130000</v>
      </c>
      <c r="S1434" s="51" t="s">
        <v>387</v>
      </c>
      <c r="T1434" s="52" t="s">
        <v>448</v>
      </c>
      <c r="U1434" s="51">
        <v>0</v>
      </c>
      <c r="V1434" s="51">
        <v>0</v>
      </c>
      <c r="W1434" s="51">
        <v>0</v>
      </c>
      <c r="X1434" s="51">
        <v>0</v>
      </c>
      <c r="Y1434" s="19" t="s">
        <v>498</v>
      </c>
      <c r="Z1434" s="19"/>
      <c r="AA1434" s="28" t="s">
        <v>8132</v>
      </c>
      <c r="AB1434" s="56">
        <v>43416</v>
      </c>
      <c r="AC1434" s="28" t="s">
        <v>8133</v>
      </c>
      <c r="AD1434" s="28" t="s">
        <v>8134</v>
      </c>
      <c r="AE1434" s="54" t="s">
        <v>8140</v>
      </c>
      <c r="AF1434" s="54"/>
      <c r="AG1434" s="54" t="s">
        <v>8141</v>
      </c>
      <c r="AH1434" s="53" t="s">
        <v>1591</v>
      </c>
      <c r="AI1434" s="53" t="s">
        <v>2686</v>
      </c>
      <c r="AJ1434" s="53" t="s">
        <v>1591</v>
      </c>
    </row>
    <row r="1435" spans="1:36" s="3" customFormat="1" ht="180" x14ac:dyDescent="0.25">
      <c r="A1435" s="17" t="s">
        <v>1987</v>
      </c>
      <c r="B1435" s="18" t="s">
        <v>37</v>
      </c>
      <c r="C1435" s="19" t="s">
        <v>828</v>
      </c>
      <c r="D1435" s="45" t="s">
        <v>2003</v>
      </c>
      <c r="E1435" s="50" t="s">
        <v>4248</v>
      </c>
      <c r="F1435" s="58" t="s">
        <v>1004</v>
      </c>
      <c r="G1435" s="51">
        <v>100000</v>
      </c>
      <c r="H1435" s="51"/>
      <c r="I1435" s="50" t="s">
        <v>1997</v>
      </c>
      <c r="J1435" s="58" t="s">
        <v>1998</v>
      </c>
      <c r="K1435" s="52" t="s">
        <v>1592</v>
      </c>
      <c r="L1435" s="59">
        <v>41835</v>
      </c>
      <c r="M1435" s="60">
        <f>L1435+135</f>
        <v>41970</v>
      </c>
      <c r="N1435" s="51">
        <v>100000</v>
      </c>
      <c r="O1435" s="59">
        <v>42735</v>
      </c>
      <c r="P1435" s="59">
        <f>M1435+135</f>
        <v>42105</v>
      </c>
      <c r="Q1435" s="51"/>
      <c r="R1435" s="51">
        <f t="shared" si="53"/>
        <v>100000</v>
      </c>
      <c r="S1435" s="51" t="s">
        <v>387</v>
      </c>
      <c r="T1435" s="52" t="s">
        <v>448</v>
      </c>
      <c r="U1435" s="51">
        <v>20700</v>
      </c>
      <c r="V1435" s="51">
        <v>0</v>
      </c>
      <c r="W1435" s="51">
        <v>0</v>
      </c>
      <c r="X1435" s="51">
        <v>20700</v>
      </c>
      <c r="Y1435" s="19" t="s">
        <v>498</v>
      </c>
      <c r="Z1435" s="19"/>
      <c r="AA1435" s="28" t="s">
        <v>8132</v>
      </c>
      <c r="AB1435" s="56">
        <v>43416</v>
      </c>
      <c r="AC1435" s="28" t="s">
        <v>8133</v>
      </c>
      <c r="AD1435" s="28" t="s">
        <v>8134</v>
      </c>
      <c r="AE1435" s="54" t="s">
        <v>8140</v>
      </c>
      <c r="AF1435" s="54"/>
      <c r="AG1435" s="54" t="s">
        <v>8141</v>
      </c>
      <c r="AH1435" s="53" t="s">
        <v>1591</v>
      </c>
      <c r="AI1435" s="53" t="s">
        <v>2686</v>
      </c>
      <c r="AJ1435" s="53" t="s">
        <v>1591</v>
      </c>
    </row>
    <row r="1436" spans="1:36" s="3" customFormat="1" ht="72" x14ac:dyDescent="0.25">
      <c r="A1436" s="17" t="s">
        <v>1987</v>
      </c>
      <c r="B1436" s="18" t="s">
        <v>37</v>
      </c>
      <c r="C1436" s="19" t="s">
        <v>1993</v>
      </c>
      <c r="D1436" s="45" t="s">
        <v>4103</v>
      </c>
      <c r="E1436" s="50" t="s">
        <v>1990</v>
      </c>
      <c r="F1436" s="58" t="s">
        <v>661</v>
      </c>
      <c r="G1436" s="51">
        <v>77039.91</v>
      </c>
      <c r="H1436" s="51">
        <v>4854</v>
      </c>
      <c r="I1436" s="50" t="s">
        <v>651</v>
      </c>
      <c r="J1436" s="58" t="s">
        <v>1991</v>
      </c>
      <c r="K1436" s="52" t="s">
        <v>1988</v>
      </c>
      <c r="L1436" s="59">
        <v>42088</v>
      </c>
      <c r="M1436" s="60" t="s">
        <v>387</v>
      </c>
      <c r="N1436" s="51">
        <v>77039.91</v>
      </c>
      <c r="O1436" s="59" t="s">
        <v>387</v>
      </c>
      <c r="P1436" s="59" t="s">
        <v>387</v>
      </c>
      <c r="Q1436" s="51"/>
      <c r="R1436" s="51">
        <f t="shared" si="53"/>
        <v>77039.91</v>
      </c>
      <c r="S1436" s="51" t="s">
        <v>1988</v>
      </c>
      <c r="T1436" s="52" t="s">
        <v>52</v>
      </c>
      <c r="U1436" s="51">
        <v>45955.01</v>
      </c>
      <c r="V1436" s="51">
        <v>0</v>
      </c>
      <c r="W1436" s="51">
        <v>0</v>
      </c>
      <c r="X1436" s="51">
        <v>45955.01</v>
      </c>
      <c r="Y1436" s="19" t="s">
        <v>149</v>
      </c>
      <c r="Z1436" s="19"/>
      <c r="AA1436" s="28" t="s">
        <v>8132</v>
      </c>
      <c r="AB1436" s="56">
        <v>43416</v>
      </c>
      <c r="AC1436" s="28" t="s">
        <v>8133</v>
      </c>
      <c r="AD1436" s="28" t="s">
        <v>8134</v>
      </c>
      <c r="AE1436" s="54" t="s">
        <v>8142</v>
      </c>
      <c r="AF1436" s="54"/>
      <c r="AG1436" s="54" t="s">
        <v>8143</v>
      </c>
      <c r="AH1436" s="53" t="s">
        <v>1591</v>
      </c>
      <c r="AI1436" s="53" t="s">
        <v>2686</v>
      </c>
      <c r="AJ1436" s="53" t="s">
        <v>1591</v>
      </c>
    </row>
    <row r="1437" spans="1:36" s="3" customFormat="1" ht="72" x14ac:dyDescent="0.25">
      <c r="A1437" s="17" t="s">
        <v>1987</v>
      </c>
      <c r="B1437" s="18" t="s">
        <v>37</v>
      </c>
      <c r="C1437" s="19" t="s">
        <v>1993</v>
      </c>
      <c r="D1437" s="45" t="s">
        <v>1994</v>
      </c>
      <c r="E1437" s="50" t="s">
        <v>1990</v>
      </c>
      <c r="F1437" s="58" t="s">
        <v>955</v>
      </c>
      <c r="G1437" s="51">
        <v>72185.91</v>
      </c>
      <c r="H1437" s="51">
        <v>4854</v>
      </c>
      <c r="I1437" s="50" t="s">
        <v>651</v>
      </c>
      <c r="J1437" s="58" t="s">
        <v>1991</v>
      </c>
      <c r="K1437" s="52" t="s">
        <v>1995</v>
      </c>
      <c r="L1437" s="59">
        <v>41995</v>
      </c>
      <c r="M1437" s="60">
        <f>L1437+90</f>
        <v>42085</v>
      </c>
      <c r="N1437" s="51">
        <v>77039.91</v>
      </c>
      <c r="O1437" s="59">
        <v>42736</v>
      </c>
      <c r="P1437" s="59"/>
      <c r="Q1437" s="51"/>
      <c r="R1437" s="51">
        <f t="shared" si="53"/>
        <v>77039.91</v>
      </c>
      <c r="S1437" s="51"/>
      <c r="T1437" s="52" t="s">
        <v>448</v>
      </c>
      <c r="U1437" s="51">
        <v>77039.91</v>
      </c>
      <c r="V1437" s="51">
        <v>0</v>
      </c>
      <c r="W1437" s="51">
        <v>0</v>
      </c>
      <c r="X1437" s="51">
        <v>45955.01</v>
      </c>
      <c r="Y1437" s="19" t="s">
        <v>142</v>
      </c>
      <c r="Z1437" s="19"/>
      <c r="AA1437" s="28" t="s">
        <v>8132</v>
      </c>
      <c r="AB1437" s="56">
        <v>43416</v>
      </c>
      <c r="AC1437" s="28" t="s">
        <v>8133</v>
      </c>
      <c r="AD1437" s="28" t="s">
        <v>8134</v>
      </c>
      <c r="AE1437" s="54" t="s">
        <v>8142</v>
      </c>
      <c r="AF1437" s="54"/>
      <c r="AG1437" s="54" t="s">
        <v>8143</v>
      </c>
      <c r="AH1437" s="53" t="s">
        <v>1591</v>
      </c>
      <c r="AI1437" s="53" t="s">
        <v>2686</v>
      </c>
      <c r="AJ1437" s="53" t="s">
        <v>1591</v>
      </c>
    </row>
    <row r="1438" spans="1:36" s="3" customFormat="1" ht="36" x14ac:dyDescent="0.25">
      <c r="A1438" s="35" t="s">
        <v>2783</v>
      </c>
      <c r="B1438" s="18" t="s">
        <v>37</v>
      </c>
      <c r="C1438" s="76"/>
      <c r="D1438" s="43" t="s">
        <v>6822</v>
      </c>
      <c r="E1438" s="78"/>
      <c r="F1438" s="36"/>
      <c r="G1438" s="80"/>
      <c r="H1438" s="80"/>
      <c r="I1438" s="36" t="s">
        <v>6823</v>
      </c>
      <c r="J1438" s="34" t="s">
        <v>6824</v>
      </c>
      <c r="K1438" s="37" t="s">
        <v>782</v>
      </c>
      <c r="L1438" s="38">
        <v>41666</v>
      </c>
      <c r="M1438" s="39">
        <v>41846</v>
      </c>
      <c r="N1438" s="42">
        <v>322515.26</v>
      </c>
      <c r="O1438" s="85">
        <v>41847</v>
      </c>
      <c r="P1438" s="86">
        <v>42026</v>
      </c>
      <c r="Q1438" s="41">
        <v>6905.96</v>
      </c>
      <c r="R1438" s="41">
        <v>329421.22000000003</v>
      </c>
      <c r="S1438" s="80"/>
      <c r="T1438" s="81"/>
      <c r="U1438" s="80"/>
      <c r="V1438" s="80"/>
      <c r="W1438" s="42"/>
      <c r="X1438" s="42">
        <v>291321.26</v>
      </c>
      <c r="Y1438" s="34" t="s">
        <v>4321</v>
      </c>
      <c r="Z1438" s="19" t="s">
        <v>7038</v>
      </c>
      <c r="AA1438" s="28" t="s">
        <v>8144</v>
      </c>
      <c r="AB1438" s="56">
        <v>43412</v>
      </c>
      <c r="AC1438" s="28" t="s">
        <v>8145</v>
      </c>
      <c r="AD1438" s="28" t="s">
        <v>8146</v>
      </c>
      <c r="AE1438" s="54" t="s">
        <v>8147</v>
      </c>
      <c r="AF1438" s="54"/>
      <c r="AG1438" s="54" t="s">
        <v>33</v>
      </c>
      <c r="AH1438" s="53" t="s">
        <v>1591</v>
      </c>
      <c r="AI1438" s="53" t="s">
        <v>2686</v>
      </c>
      <c r="AJ1438" s="53" t="s">
        <v>1591</v>
      </c>
    </row>
    <row r="1439" spans="1:36" s="3" customFormat="1" ht="36" x14ac:dyDescent="0.25">
      <c r="A1439" s="35" t="s">
        <v>2783</v>
      </c>
      <c r="B1439" s="18" t="s">
        <v>37</v>
      </c>
      <c r="C1439" s="76"/>
      <c r="D1439" s="43" t="s">
        <v>6825</v>
      </c>
      <c r="E1439" s="78"/>
      <c r="F1439" s="36"/>
      <c r="G1439" s="80"/>
      <c r="H1439" s="80"/>
      <c r="I1439" s="36" t="s">
        <v>2017</v>
      </c>
      <c r="J1439" s="34" t="s">
        <v>2018</v>
      </c>
      <c r="K1439" s="37" t="s">
        <v>5552</v>
      </c>
      <c r="L1439" s="38">
        <v>42278</v>
      </c>
      <c r="M1439" s="39">
        <v>42458</v>
      </c>
      <c r="N1439" s="42">
        <v>87688.19</v>
      </c>
      <c r="O1439" s="85">
        <v>42464</v>
      </c>
      <c r="P1439" s="86">
        <v>42458</v>
      </c>
      <c r="Q1439" s="41"/>
      <c r="R1439" s="41">
        <v>87688.19</v>
      </c>
      <c r="S1439" s="80"/>
      <c r="T1439" s="81"/>
      <c r="U1439" s="80"/>
      <c r="V1439" s="80"/>
      <c r="W1439" s="42"/>
      <c r="X1439" s="42">
        <v>67969.06</v>
      </c>
      <c r="Y1439" s="34" t="s">
        <v>4321</v>
      </c>
      <c r="Z1439" s="19" t="s">
        <v>7038</v>
      </c>
      <c r="AA1439" s="28" t="s">
        <v>8144</v>
      </c>
      <c r="AB1439" s="56">
        <v>43412</v>
      </c>
      <c r="AC1439" s="28" t="s">
        <v>8145</v>
      </c>
      <c r="AD1439" s="28" t="s">
        <v>8146</v>
      </c>
      <c r="AE1439" s="54" t="s">
        <v>8147</v>
      </c>
      <c r="AF1439" s="54"/>
      <c r="AG1439" s="54" t="s">
        <v>33</v>
      </c>
      <c r="AH1439" s="53" t="s">
        <v>1591</v>
      </c>
      <c r="AI1439" s="53" t="s">
        <v>2686</v>
      </c>
      <c r="AJ1439" s="53" t="s">
        <v>1591</v>
      </c>
    </row>
    <row r="1440" spans="1:36" s="3" customFormat="1" ht="48" x14ac:dyDescent="0.25">
      <c r="A1440" s="35" t="s">
        <v>2783</v>
      </c>
      <c r="B1440" s="18" t="s">
        <v>37</v>
      </c>
      <c r="C1440" s="76"/>
      <c r="D1440" s="43" t="s">
        <v>6826</v>
      </c>
      <c r="E1440" s="78"/>
      <c r="F1440" s="36"/>
      <c r="G1440" s="80"/>
      <c r="H1440" s="80"/>
      <c r="I1440" s="36" t="s">
        <v>79</v>
      </c>
      <c r="J1440" s="34" t="s">
        <v>6821</v>
      </c>
      <c r="K1440" s="37" t="s">
        <v>1098</v>
      </c>
      <c r="L1440" s="38">
        <v>42118</v>
      </c>
      <c r="M1440" s="39">
        <v>42298</v>
      </c>
      <c r="N1440" s="42">
        <v>81256.740000000005</v>
      </c>
      <c r="O1440" s="85">
        <v>42301</v>
      </c>
      <c r="P1440" s="86">
        <v>42298</v>
      </c>
      <c r="Q1440" s="41"/>
      <c r="R1440" s="41">
        <v>81256.740000000005</v>
      </c>
      <c r="S1440" s="80"/>
      <c r="T1440" s="81"/>
      <c r="U1440" s="80"/>
      <c r="V1440" s="80"/>
      <c r="W1440" s="42"/>
      <c r="X1440" s="42">
        <v>64676</v>
      </c>
      <c r="Y1440" s="34" t="s">
        <v>4321</v>
      </c>
      <c r="Z1440" s="19" t="s">
        <v>7038</v>
      </c>
      <c r="AA1440" s="28" t="s">
        <v>8144</v>
      </c>
      <c r="AB1440" s="56">
        <v>43412</v>
      </c>
      <c r="AC1440" s="28" t="s">
        <v>8145</v>
      </c>
      <c r="AD1440" s="28" t="s">
        <v>8146</v>
      </c>
      <c r="AE1440" s="54" t="s">
        <v>8147</v>
      </c>
      <c r="AF1440" s="54"/>
      <c r="AG1440" s="54" t="s">
        <v>33</v>
      </c>
      <c r="AH1440" s="53" t="s">
        <v>1591</v>
      </c>
      <c r="AI1440" s="53" t="s">
        <v>2686</v>
      </c>
      <c r="AJ1440" s="53" t="s">
        <v>1591</v>
      </c>
    </row>
    <row r="1441" spans="1:36" s="3" customFormat="1" ht="48" x14ac:dyDescent="0.25">
      <c r="A1441" s="17" t="s">
        <v>2015</v>
      </c>
      <c r="B1441" s="18" t="s">
        <v>37</v>
      </c>
      <c r="C1441" s="19" t="s">
        <v>3563</v>
      </c>
      <c r="D1441" s="45" t="s">
        <v>3564</v>
      </c>
      <c r="E1441" s="50"/>
      <c r="F1441" s="58"/>
      <c r="G1441" s="51"/>
      <c r="H1441" s="51"/>
      <c r="I1441" s="50" t="s">
        <v>79</v>
      </c>
      <c r="J1441" s="58" t="s">
        <v>3854</v>
      </c>
      <c r="K1441" s="52" t="s">
        <v>3855</v>
      </c>
      <c r="L1441" s="59">
        <v>42983</v>
      </c>
      <c r="M1441" s="60">
        <f>L1441+180</f>
        <v>43163</v>
      </c>
      <c r="N1441" s="51">
        <v>58318.5</v>
      </c>
      <c r="O1441" s="59">
        <v>43164</v>
      </c>
      <c r="P1441" s="59">
        <v>0</v>
      </c>
      <c r="Q1441" s="51"/>
      <c r="R1441" s="51">
        <f>N1441+Q1441</f>
        <v>58318.5</v>
      </c>
      <c r="S1441" s="51"/>
      <c r="T1441" s="52" t="s">
        <v>2016</v>
      </c>
      <c r="U1441" s="51">
        <v>0</v>
      </c>
      <c r="V1441" s="51">
        <v>0</v>
      </c>
      <c r="W1441" s="51">
        <v>0</v>
      </c>
      <c r="X1441" s="51">
        <v>0</v>
      </c>
      <c r="Y1441" s="19" t="s">
        <v>157</v>
      </c>
      <c r="Z1441" s="19"/>
      <c r="AA1441" s="28" t="s">
        <v>8144</v>
      </c>
      <c r="AB1441" s="56">
        <v>43412</v>
      </c>
      <c r="AC1441" s="28" t="s">
        <v>8145</v>
      </c>
      <c r="AD1441" s="28" t="s">
        <v>8146</v>
      </c>
      <c r="AE1441" s="54" t="s">
        <v>8148</v>
      </c>
      <c r="AF1441" s="54"/>
      <c r="AG1441" s="54" t="s">
        <v>575</v>
      </c>
      <c r="AH1441" s="53" t="s">
        <v>1591</v>
      </c>
      <c r="AI1441" s="53" t="s">
        <v>2686</v>
      </c>
      <c r="AJ1441" s="53" t="s">
        <v>1591</v>
      </c>
    </row>
    <row r="1442" spans="1:36" s="3" customFormat="1" ht="36" x14ac:dyDescent="0.25">
      <c r="A1442" s="35" t="s">
        <v>2877</v>
      </c>
      <c r="B1442" s="18" t="s">
        <v>37</v>
      </c>
      <c r="C1442" s="76"/>
      <c r="D1442" s="43" t="s">
        <v>6827</v>
      </c>
      <c r="E1442" s="78"/>
      <c r="F1442" s="36" t="s">
        <v>889</v>
      </c>
      <c r="G1442" s="80"/>
      <c r="H1442" s="80"/>
      <c r="I1442" s="36" t="s">
        <v>6828</v>
      </c>
      <c r="J1442" s="34" t="s">
        <v>6829</v>
      </c>
      <c r="K1442" s="37" t="s">
        <v>1247</v>
      </c>
      <c r="L1442" s="38">
        <v>41823</v>
      </c>
      <c r="M1442" s="39">
        <v>41913</v>
      </c>
      <c r="N1442" s="42">
        <v>106275.43</v>
      </c>
      <c r="O1442" s="85"/>
      <c r="P1442" s="86">
        <v>41913</v>
      </c>
      <c r="Q1442" s="41"/>
      <c r="R1442" s="41">
        <v>106275.43</v>
      </c>
      <c r="S1442" s="80"/>
      <c r="T1442" s="81"/>
      <c r="U1442" s="80"/>
      <c r="V1442" s="80"/>
      <c r="W1442" s="42"/>
      <c r="X1442" s="42">
        <v>42616.55</v>
      </c>
      <c r="Y1442" s="34" t="s">
        <v>4321</v>
      </c>
      <c r="Z1442" s="19" t="s">
        <v>7038</v>
      </c>
      <c r="AA1442" s="28"/>
      <c r="AB1442" s="56"/>
      <c r="AC1442" s="28"/>
      <c r="AD1442" s="28"/>
      <c r="AE1442" s="54"/>
      <c r="AF1442" s="54"/>
      <c r="AG1442" s="54"/>
      <c r="AH1442" s="53"/>
      <c r="AI1442" s="53" t="s">
        <v>1591</v>
      </c>
      <c r="AJ1442" s="53" t="s">
        <v>1591</v>
      </c>
    </row>
    <row r="1443" spans="1:36" s="3" customFormat="1" ht="36" x14ac:dyDescent="0.25">
      <c r="A1443" s="35" t="s">
        <v>2877</v>
      </c>
      <c r="B1443" s="18" t="s">
        <v>37</v>
      </c>
      <c r="C1443" s="76"/>
      <c r="D1443" s="43" t="s">
        <v>6830</v>
      </c>
      <c r="E1443" s="78"/>
      <c r="F1443" s="36" t="s">
        <v>889</v>
      </c>
      <c r="G1443" s="80"/>
      <c r="H1443" s="80"/>
      <c r="I1443" s="36" t="s">
        <v>6831</v>
      </c>
      <c r="J1443" s="34" t="s">
        <v>6829</v>
      </c>
      <c r="K1443" s="37" t="s">
        <v>6832</v>
      </c>
      <c r="L1443" s="38">
        <v>41823</v>
      </c>
      <c r="M1443" s="39">
        <v>41913</v>
      </c>
      <c r="N1443" s="42">
        <v>63349.34</v>
      </c>
      <c r="O1443" s="85"/>
      <c r="P1443" s="86">
        <v>41913</v>
      </c>
      <c r="Q1443" s="41"/>
      <c r="R1443" s="41">
        <v>63349.34</v>
      </c>
      <c r="S1443" s="80"/>
      <c r="T1443" s="81"/>
      <c r="U1443" s="80"/>
      <c r="V1443" s="80"/>
      <c r="W1443" s="42"/>
      <c r="X1443" s="42">
        <v>24988.12</v>
      </c>
      <c r="Y1443" s="34" t="s">
        <v>4321</v>
      </c>
      <c r="Z1443" s="19" t="s">
        <v>7038</v>
      </c>
      <c r="AA1443" s="28"/>
      <c r="AB1443" s="56"/>
      <c r="AC1443" s="28"/>
      <c r="AD1443" s="28"/>
      <c r="AE1443" s="54"/>
      <c r="AF1443" s="54"/>
      <c r="AG1443" s="54"/>
      <c r="AH1443" s="53"/>
      <c r="AI1443" s="53" t="s">
        <v>1591</v>
      </c>
      <c r="AJ1443" s="53" t="s">
        <v>1591</v>
      </c>
    </row>
    <row r="1444" spans="1:36" s="3" customFormat="1" ht="48" x14ac:dyDescent="0.25">
      <c r="A1444" s="17" t="s">
        <v>1935</v>
      </c>
      <c r="B1444" s="18" t="s">
        <v>37</v>
      </c>
      <c r="C1444" s="76" t="s">
        <v>6833</v>
      </c>
      <c r="D1444" s="45" t="s">
        <v>6834</v>
      </c>
      <c r="E1444" s="78" t="s">
        <v>1591</v>
      </c>
      <c r="F1444" s="79" t="s">
        <v>1591</v>
      </c>
      <c r="G1444" s="80" t="s">
        <v>1591</v>
      </c>
      <c r="H1444" s="80" t="s">
        <v>1591</v>
      </c>
      <c r="I1444" s="78" t="s">
        <v>308</v>
      </c>
      <c r="J1444" s="79" t="s">
        <v>309</v>
      </c>
      <c r="K1444" s="81" t="s">
        <v>909</v>
      </c>
      <c r="L1444" s="82">
        <v>41996</v>
      </c>
      <c r="M1444" s="83">
        <v>42176</v>
      </c>
      <c r="N1444" s="80">
        <v>1072359.1299999999</v>
      </c>
      <c r="O1444" s="82" t="s">
        <v>39</v>
      </c>
      <c r="P1444" s="84" t="s">
        <v>5050</v>
      </c>
      <c r="Q1444" s="80">
        <v>0</v>
      </c>
      <c r="R1444" s="80">
        <v>1072359.1299999999</v>
      </c>
      <c r="S1444" s="80"/>
      <c r="T1444" s="81" t="s">
        <v>45</v>
      </c>
      <c r="U1444" s="80">
        <v>17206.919999999998</v>
      </c>
      <c r="V1444" s="80"/>
      <c r="W1444" s="80"/>
      <c r="X1444" s="80">
        <v>657978.46</v>
      </c>
      <c r="Y1444" s="76" t="s">
        <v>149</v>
      </c>
      <c r="Z1444" s="19" t="s">
        <v>7038</v>
      </c>
      <c r="AA1444" s="28"/>
      <c r="AB1444" s="56"/>
      <c r="AC1444" s="28"/>
      <c r="AD1444" s="28"/>
      <c r="AE1444" s="54"/>
      <c r="AF1444" s="54"/>
      <c r="AG1444" s="54"/>
      <c r="AH1444" s="53"/>
      <c r="AI1444" s="53" t="s">
        <v>1591</v>
      </c>
      <c r="AJ1444" s="53" t="s">
        <v>1591</v>
      </c>
    </row>
    <row r="1445" spans="1:36" s="3" customFormat="1" ht="48" x14ac:dyDescent="0.25">
      <c r="A1445" s="35" t="s">
        <v>1935</v>
      </c>
      <c r="B1445" s="18" t="s">
        <v>37</v>
      </c>
      <c r="C1445" s="19" t="s">
        <v>3565</v>
      </c>
      <c r="D1445" s="43" t="s">
        <v>3566</v>
      </c>
      <c r="E1445" s="50">
        <v>2013</v>
      </c>
      <c r="F1445" s="36" t="s">
        <v>43</v>
      </c>
      <c r="G1445" s="51">
        <v>589273.97</v>
      </c>
      <c r="H1445" s="51">
        <v>53747.58</v>
      </c>
      <c r="I1445" s="36" t="s">
        <v>1311</v>
      </c>
      <c r="J1445" s="34" t="s">
        <v>3856</v>
      </c>
      <c r="K1445" s="37" t="s">
        <v>2701</v>
      </c>
      <c r="L1445" s="38">
        <v>41862</v>
      </c>
      <c r="M1445" s="39">
        <f>L1445+150</f>
        <v>42012</v>
      </c>
      <c r="N1445" s="42">
        <v>643004.24</v>
      </c>
      <c r="O1445" s="74" t="s">
        <v>39</v>
      </c>
      <c r="P1445" s="39">
        <f>M1445+1200</f>
        <v>43212</v>
      </c>
      <c r="Q1445" s="41"/>
      <c r="R1445" s="51">
        <f>N1445+Q1445</f>
        <v>643004.24</v>
      </c>
      <c r="S1445" s="51" t="s">
        <v>1591</v>
      </c>
      <c r="T1445" s="52" t="s">
        <v>895</v>
      </c>
      <c r="U1445" s="51">
        <v>83320.37</v>
      </c>
      <c r="V1445" s="51">
        <v>83320.37</v>
      </c>
      <c r="W1445" s="42">
        <v>83320.37</v>
      </c>
      <c r="X1445" s="42">
        <v>509470.73</v>
      </c>
      <c r="Y1445" s="34" t="s">
        <v>42</v>
      </c>
      <c r="Z1445" s="34"/>
      <c r="AA1445" s="28"/>
      <c r="AB1445" s="56"/>
      <c r="AC1445" s="28"/>
      <c r="AD1445" s="28"/>
      <c r="AE1445" s="54"/>
      <c r="AF1445" s="54"/>
      <c r="AG1445" s="54"/>
      <c r="AH1445" s="53"/>
      <c r="AI1445" s="53" t="s">
        <v>1591</v>
      </c>
      <c r="AJ1445" s="53" t="s">
        <v>1591</v>
      </c>
    </row>
    <row r="1446" spans="1:36" s="3" customFormat="1" ht="48" x14ac:dyDescent="0.25">
      <c r="A1446" s="17" t="s">
        <v>1935</v>
      </c>
      <c r="B1446" s="18" t="s">
        <v>37</v>
      </c>
      <c r="C1446" s="19" t="s">
        <v>3565</v>
      </c>
      <c r="D1446" s="45" t="s">
        <v>3567</v>
      </c>
      <c r="E1446" s="50">
        <v>2014</v>
      </c>
      <c r="F1446" s="58" t="s">
        <v>43</v>
      </c>
      <c r="G1446" s="51">
        <v>589273.97</v>
      </c>
      <c r="H1446" s="51">
        <v>40572.92</v>
      </c>
      <c r="I1446" s="50" t="s">
        <v>1311</v>
      </c>
      <c r="J1446" s="58" t="s">
        <v>3856</v>
      </c>
      <c r="K1446" s="52" t="s">
        <v>2701</v>
      </c>
      <c r="L1446" s="59">
        <v>41925</v>
      </c>
      <c r="M1446" s="60">
        <f>L1446+150</f>
        <v>42075</v>
      </c>
      <c r="N1446" s="51">
        <v>629830.76</v>
      </c>
      <c r="O1446" s="59" t="s">
        <v>39</v>
      </c>
      <c r="P1446" s="59">
        <f>M1446+1200</f>
        <v>43275</v>
      </c>
      <c r="Q1446" s="51"/>
      <c r="R1446" s="51">
        <f>N1446+Q1446</f>
        <v>629830.76</v>
      </c>
      <c r="S1446" s="51" t="s">
        <v>1591</v>
      </c>
      <c r="T1446" s="52" t="s">
        <v>895</v>
      </c>
      <c r="U1446" s="51">
        <v>100107.03</v>
      </c>
      <c r="V1446" s="51">
        <v>76500</v>
      </c>
      <c r="W1446" s="51">
        <v>76500</v>
      </c>
      <c r="X1446" s="51">
        <v>491681.82</v>
      </c>
      <c r="Y1446" s="19" t="s">
        <v>42</v>
      </c>
      <c r="Z1446" s="19"/>
      <c r="AA1446" s="28"/>
      <c r="AB1446" s="56"/>
      <c r="AC1446" s="28"/>
      <c r="AD1446" s="28"/>
      <c r="AE1446" s="54"/>
      <c r="AF1446" s="54"/>
      <c r="AG1446" s="54"/>
      <c r="AH1446" s="53"/>
      <c r="AI1446" s="53" t="s">
        <v>1591</v>
      </c>
      <c r="AJ1446" s="53" t="s">
        <v>1591</v>
      </c>
    </row>
    <row r="1447" spans="1:36" s="3" customFormat="1" ht="48" x14ac:dyDescent="0.25">
      <c r="A1447" s="17" t="s">
        <v>1936</v>
      </c>
      <c r="B1447" s="18" t="s">
        <v>37</v>
      </c>
      <c r="C1447" s="76" t="s">
        <v>6837</v>
      </c>
      <c r="D1447" s="77" t="s">
        <v>6835</v>
      </c>
      <c r="E1447" s="78"/>
      <c r="F1447" s="79"/>
      <c r="G1447" s="80"/>
      <c r="H1447" s="80"/>
      <c r="I1447" s="78" t="s">
        <v>1937</v>
      </c>
      <c r="J1447" s="79" t="s">
        <v>6836</v>
      </c>
      <c r="K1447" s="81"/>
      <c r="L1447" s="82"/>
      <c r="M1447" s="83"/>
      <c r="N1447" s="80">
        <v>395000</v>
      </c>
      <c r="O1447" s="82"/>
      <c r="P1447" s="84"/>
      <c r="Q1447" s="80">
        <v>0</v>
      </c>
      <c r="R1447" s="80">
        <v>395000</v>
      </c>
      <c r="S1447" s="80"/>
      <c r="T1447" s="81" t="s">
        <v>40</v>
      </c>
      <c r="U1447" s="80">
        <v>188120.08</v>
      </c>
      <c r="V1447" s="80"/>
      <c r="W1447" s="80"/>
      <c r="X1447" s="80">
        <v>188120.08</v>
      </c>
      <c r="Y1447" s="76" t="s">
        <v>175</v>
      </c>
      <c r="Z1447" s="19" t="s">
        <v>7038</v>
      </c>
      <c r="AA1447" s="28" t="s">
        <v>8149</v>
      </c>
      <c r="AB1447" s="56">
        <v>43453</v>
      </c>
      <c r="AC1447" s="28" t="s">
        <v>8419</v>
      </c>
      <c r="AD1447" s="28" t="s">
        <v>8420</v>
      </c>
      <c r="AE1447" s="54" t="s">
        <v>8422</v>
      </c>
      <c r="AF1447" s="54"/>
      <c r="AG1447" s="54" t="s">
        <v>8421</v>
      </c>
      <c r="AH1447" s="53" t="s">
        <v>1591</v>
      </c>
      <c r="AI1447" s="53" t="s">
        <v>2686</v>
      </c>
      <c r="AJ1447" s="53" t="s">
        <v>1591</v>
      </c>
    </row>
    <row r="1448" spans="1:36" s="3" customFormat="1" ht="24" x14ac:dyDescent="0.25">
      <c r="A1448" s="17" t="s">
        <v>1936</v>
      </c>
      <c r="B1448" s="34" t="s">
        <v>37</v>
      </c>
      <c r="C1448" s="19" t="s">
        <v>3578</v>
      </c>
      <c r="D1448" s="45" t="s">
        <v>3589</v>
      </c>
      <c r="E1448" s="50"/>
      <c r="F1448" s="58"/>
      <c r="G1448" s="51"/>
      <c r="H1448" s="51"/>
      <c r="I1448" s="50"/>
      <c r="J1448" s="58"/>
      <c r="K1448" s="52"/>
      <c r="L1448" s="59"/>
      <c r="M1448" s="60"/>
      <c r="N1448" s="51"/>
      <c r="O1448" s="59"/>
      <c r="P1448" s="59">
        <v>0</v>
      </c>
      <c r="Q1448" s="51"/>
      <c r="R1448" s="51">
        <f t="shared" ref="R1448:R1457" si="54">N1448+Q1448</f>
        <v>0</v>
      </c>
      <c r="S1448" s="51"/>
      <c r="T1448" s="52" t="s">
        <v>1087</v>
      </c>
      <c r="U1448" s="51" t="s">
        <v>3944</v>
      </c>
      <c r="V1448" s="51" t="s">
        <v>3944</v>
      </c>
      <c r="W1448" s="51" t="s">
        <v>3944</v>
      </c>
      <c r="X1448" s="51">
        <v>4837</v>
      </c>
      <c r="Y1448" s="19" t="s">
        <v>844</v>
      </c>
      <c r="Z1448" s="19" t="s">
        <v>4307</v>
      </c>
      <c r="AA1448" s="28" t="s">
        <v>8149</v>
      </c>
      <c r="AB1448" s="56">
        <v>43453</v>
      </c>
      <c r="AC1448" s="28" t="s">
        <v>8419</v>
      </c>
      <c r="AD1448" s="28" t="s">
        <v>8420</v>
      </c>
      <c r="AE1448" s="54" t="s">
        <v>8423</v>
      </c>
      <c r="AF1448" s="54"/>
      <c r="AG1448" s="54"/>
      <c r="AH1448" s="53" t="s">
        <v>1591</v>
      </c>
      <c r="AI1448" s="53" t="s">
        <v>2686</v>
      </c>
      <c r="AJ1448" s="53" t="s">
        <v>1591</v>
      </c>
    </row>
    <row r="1449" spans="1:36" s="3" customFormat="1" ht="24" x14ac:dyDescent="0.25">
      <c r="A1449" s="35" t="s">
        <v>1936</v>
      </c>
      <c r="B1449" s="34" t="s">
        <v>37</v>
      </c>
      <c r="C1449" s="19" t="s">
        <v>3578</v>
      </c>
      <c r="D1449" s="43" t="s">
        <v>3588</v>
      </c>
      <c r="E1449" s="50"/>
      <c r="F1449" s="36"/>
      <c r="G1449" s="51"/>
      <c r="H1449" s="51"/>
      <c r="I1449" s="36"/>
      <c r="J1449" s="34"/>
      <c r="K1449" s="37"/>
      <c r="L1449" s="38"/>
      <c r="M1449" s="39"/>
      <c r="N1449" s="42"/>
      <c r="O1449" s="74"/>
      <c r="P1449" s="39">
        <v>0</v>
      </c>
      <c r="Q1449" s="41"/>
      <c r="R1449" s="51">
        <f t="shared" si="54"/>
        <v>0</v>
      </c>
      <c r="S1449" s="51"/>
      <c r="T1449" s="52" t="s">
        <v>1082</v>
      </c>
      <c r="U1449" s="51" t="s">
        <v>3307</v>
      </c>
      <c r="V1449" s="51" t="s">
        <v>3307</v>
      </c>
      <c r="W1449" s="42" t="s">
        <v>3307</v>
      </c>
      <c r="X1449" s="42">
        <v>7000</v>
      </c>
      <c r="Y1449" s="34" t="s">
        <v>844</v>
      </c>
      <c r="Z1449" s="19" t="s">
        <v>4307</v>
      </c>
      <c r="AA1449" s="28" t="s">
        <v>8149</v>
      </c>
      <c r="AB1449" s="56">
        <v>43453</v>
      </c>
      <c r="AC1449" s="28" t="s">
        <v>8419</v>
      </c>
      <c r="AD1449" s="28" t="s">
        <v>8420</v>
      </c>
      <c r="AE1449" s="54" t="s">
        <v>8423</v>
      </c>
      <c r="AF1449" s="54"/>
      <c r="AG1449" s="54"/>
      <c r="AH1449" s="53" t="s">
        <v>1591</v>
      </c>
      <c r="AI1449" s="53" t="s">
        <v>2686</v>
      </c>
      <c r="AJ1449" s="53" t="s">
        <v>1591</v>
      </c>
    </row>
    <row r="1450" spans="1:36" s="3" customFormat="1" ht="24" x14ac:dyDescent="0.25">
      <c r="A1450" s="17" t="s">
        <v>1936</v>
      </c>
      <c r="B1450" s="34" t="s">
        <v>37</v>
      </c>
      <c r="C1450" s="19" t="s">
        <v>3578</v>
      </c>
      <c r="D1450" s="45" t="s">
        <v>3582</v>
      </c>
      <c r="E1450" s="50"/>
      <c r="F1450" s="58"/>
      <c r="G1450" s="51"/>
      <c r="H1450" s="51"/>
      <c r="I1450" s="50"/>
      <c r="J1450" s="58"/>
      <c r="K1450" s="52"/>
      <c r="L1450" s="59"/>
      <c r="M1450" s="60"/>
      <c r="N1450" s="51"/>
      <c r="O1450" s="59"/>
      <c r="P1450" s="59">
        <v>0</v>
      </c>
      <c r="Q1450" s="51"/>
      <c r="R1450" s="51">
        <f t="shared" si="54"/>
        <v>0</v>
      </c>
      <c r="S1450" s="51"/>
      <c r="T1450" s="52">
        <v>339039</v>
      </c>
      <c r="U1450" s="51">
        <v>14415.84</v>
      </c>
      <c r="V1450" s="51">
        <v>14415.84</v>
      </c>
      <c r="W1450" s="51">
        <v>14415.84</v>
      </c>
      <c r="X1450" s="51">
        <v>14415.84</v>
      </c>
      <c r="Y1450" s="19" t="s">
        <v>844</v>
      </c>
      <c r="Z1450" s="19" t="s">
        <v>4307</v>
      </c>
      <c r="AA1450" s="28" t="s">
        <v>8149</v>
      </c>
      <c r="AB1450" s="56">
        <v>43453</v>
      </c>
      <c r="AC1450" s="28" t="s">
        <v>8419</v>
      </c>
      <c r="AD1450" s="28" t="s">
        <v>8420</v>
      </c>
      <c r="AE1450" s="54" t="s">
        <v>8423</v>
      </c>
      <c r="AF1450" s="54"/>
      <c r="AG1450" s="54"/>
      <c r="AH1450" s="53" t="s">
        <v>1591</v>
      </c>
      <c r="AI1450" s="53" t="s">
        <v>2686</v>
      </c>
      <c r="AJ1450" s="53" t="s">
        <v>1591</v>
      </c>
    </row>
    <row r="1451" spans="1:36" s="3" customFormat="1" ht="24" x14ac:dyDescent="0.25">
      <c r="A1451" s="17" t="s">
        <v>1936</v>
      </c>
      <c r="B1451" s="34" t="s">
        <v>37</v>
      </c>
      <c r="C1451" s="19" t="s">
        <v>3578</v>
      </c>
      <c r="D1451" s="45" t="s">
        <v>3581</v>
      </c>
      <c r="E1451" s="50"/>
      <c r="F1451" s="58"/>
      <c r="G1451" s="51"/>
      <c r="H1451" s="51"/>
      <c r="I1451" s="50"/>
      <c r="J1451" s="58"/>
      <c r="K1451" s="52"/>
      <c r="L1451" s="59"/>
      <c r="M1451" s="60"/>
      <c r="N1451" s="51"/>
      <c r="O1451" s="59"/>
      <c r="P1451" s="59">
        <v>0</v>
      </c>
      <c r="Q1451" s="51"/>
      <c r="R1451" s="51">
        <f t="shared" si="54"/>
        <v>0</v>
      </c>
      <c r="S1451" s="51"/>
      <c r="T1451" s="52" t="s">
        <v>3942</v>
      </c>
      <c r="U1451" s="51">
        <v>21511.9</v>
      </c>
      <c r="V1451" s="51">
        <v>21511.9</v>
      </c>
      <c r="W1451" s="51">
        <v>21511.9</v>
      </c>
      <c r="X1451" s="51">
        <v>21511.9</v>
      </c>
      <c r="Y1451" s="19" t="s">
        <v>844</v>
      </c>
      <c r="Z1451" s="19" t="s">
        <v>4307</v>
      </c>
      <c r="AA1451" s="28" t="s">
        <v>8149</v>
      </c>
      <c r="AB1451" s="56">
        <v>43453</v>
      </c>
      <c r="AC1451" s="28" t="s">
        <v>8419</v>
      </c>
      <c r="AD1451" s="28" t="s">
        <v>8420</v>
      </c>
      <c r="AE1451" s="54" t="s">
        <v>8423</v>
      </c>
      <c r="AF1451" s="54"/>
      <c r="AG1451" s="54"/>
      <c r="AH1451" s="53" t="s">
        <v>1591</v>
      </c>
      <c r="AI1451" s="53" t="s">
        <v>2686</v>
      </c>
      <c r="AJ1451" s="53" t="s">
        <v>1591</v>
      </c>
    </row>
    <row r="1452" spans="1:36" s="3" customFormat="1" ht="36" x14ac:dyDescent="0.25">
      <c r="A1452" s="17" t="s">
        <v>1936</v>
      </c>
      <c r="B1452" s="34" t="s">
        <v>37</v>
      </c>
      <c r="C1452" s="19" t="s">
        <v>3578</v>
      </c>
      <c r="D1452" s="45" t="s">
        <v>3580</v>
      </c>
      <c r="E1452" s="50"/>
      <c r="F1452" s="58"/>
      <c r="G1452" s="51"/>
      <c r="H1452" s="51"/>
      <c r="I1452" s="50"/>
      <c r="J1452" s="58"/>
      <c r="K1452" s="52"/>
      <c r="L1452" s="59"/>
      <c r="M1452" s="60"/>
      <c r="N1452" s="51"/>
      <c r="O1452" s="59"/>
      <c r="P1452" s="59">
        <v>0</v>
      </c>
      <c r="Q1452" s="51"/>
      <c r="R1452" s="51">
        <f t="shared" si="54"/>
        <v>0</v>
      </c>
      <c r="S1452" s="51"/>
      <c r="T1452" s="52" t="s">
        <v>3940</v>
      </c>
      <c r="U1452" s="51">
        <v>69456.160000000003</v>
      </c>
      <c r="V1452" s="51">
        <v>69456.160000000003</v>
      </c>
      <c r="W1452" s="51">
        <v>69456.160000000003</v>
      </c>
      <c r="X1452" s="51">
        <v>69456.160000000003</v>
      </c>
      <c r="Y1452" s="19" t="s">
        <v>844</v>
      </c>
      <c r="Z1452" s="19" t="s">
        <v>4307</v>
      </c>
      <c r="AA1452" s="28" t="s">
        <v>8149</v>
      </c>
      <c r="AB1452" s="56">
        <v>43453</v>
      </c>
      <c r="AC1452" s="28" t="s">
        <v>8419</v>
      </c>
      <c r="AD1452" s="28" t="s">
        <v>8420</v>
      </c>
      <c r="AE1452" s="54" t="s">
        <v>8423</v>
      </c>
      <c r="AF1452" s="54"/>
      <c r="AG1452" s="54"/>
      <c r="AH1452" s="53" t="s">
        <v>1591</v>
      </c>
      <c r="AI1452" s="53" t="s">
        <v>2686</v>
      </c>
      <c r="AJ1452" s="53" t="s">
        <v>1591</v>
      </c>
    </row>
    <row r="1453" spans="1:36" s="3" customFormat="1" ht="24" x14ac:dyDescent="0.25">
      <c r="A1453" s="17" t="s">
        <v>1936</v>
      </c>
      <c r="B1453" s="34" t="s">
        <v>37</v>
      </c>
      <c r="C1453" s="19" t="s">
        <v>3578</v>
      </c>
      <c r="D1453" s="45" t="s">
        <v>3587</v>
      </c>
      <c r="E1453" s="50"/>
      <c r="F1453" s="58"/>
      <c r="G1453" s="51"/>
      <c r="H1453" s="51"/>
      <c r="I1453" s="50"/>
      <c r="J1453" s="58"/>
      <c r="K1453" s="52"/>
      <c r="L1453" s="59"/>
      <c r="M1453" s="60"/>
      <c r="N1453" s="51"/>
      <c r="O1453" s="59"/>
      <c r="P1453" s="59">
        <v>0</v>
      </c>
      <c r="Q1453" s="51"/>
      <c r="R1453" s="51">
        <f t="shared" si="54"/>
        <v>0</v>
      </c>
      <c r="S1453" s="51"/>
      <c r="T1453" s="52" t="s">
        <v>674</v>
      </c>
      <c r="U1453" s="51">
        <v>75063.7</v>
      </c>
      <c r="V1453" s="51">
        <v>75063.7</v>
      </c>
      <c r="W1453" s="51">
        <v>75063.7</v>
      </c>
      <c r="X1453" s="51">
        <v>75063.7</v>
      </c>
      <c r="Y1453" s="19" t="s">
        <v>844</v>
      </c>
      <c r="Z1453" s="19" t="s">
        <v>4307</v>
      </c>
      <c r="AA1453" s="28" t="s">
        <v>8149</v>
      </c>
      <c r="AB1453" s="56">
        <v>43453</v>
      </c>
      <c r="AC1453" s="28" t="s">
        <v>8419</v>
      </c>
      <c r="AD1453" s="28" t="s">
        <v>8420</v>
      </c>
      <c r="AE1453" s="54" t="s">
        <v>8423</v>
      </c>
      <c r="AF1453" s="54"/>
      <c r="AG1453" s="54"/>
      <c r="AH1453" s="53" t="s">
        <v>1591</v>
      </c>
      <c r="AI1453" s="53" t="s">
        <v>2686</v>
      </c>
      <c r="AJ1453" s="53" t="s">
        <v>1591</v>
      </c>
    </row>
    <row r="1454" spans="1:36" s="3" customFormat="1" ht="24" x14ac:dyDescent="0.25">
      <c r="A1454" s="17" t="s">
        <v>1936</v>
      </c>
      <c r="B1454" s="34" t="s">
        <v>37</v>
      </c>
      <c r="C1454" s="19" t="s">
        <v>3578</v>
      </c>
      <c r="D1454" s="45" t="s">
        <v>3583</v>
      </c>
      <c r="E1454" s="50"/>
      <c r="F1454" s="58"/>
      <c r="G1454" s="51"/>
      <c r="H1454" s="51"/>
      <c r="I1454" s="50"/>
      <c r="J1454" s="58"/>
      <c r="K1454" s="52"/>
      <c r="L1454" s="59"/>
      <c r="M1454" s="60"/>
      <c r="N1454" s="51"/>
      <c r="O1454" s="59"/>
      <c r="P1454" s="59">
        <v>0</v>
      </c>
      <c r="Q1454" s="51"/>
      <c r="R1454" s="51">
        <f t="shared" si="54"/>
        <v>0</v>
      </c>
      <c r="S1454" s="51"/>
      <c r="T1454" s="52" t="s">
        <v>3943</v>
      </c>
      <c r="U1454" s="51">
        <v>120645.47</v>
      </c>
      <c r="V1454" s="51">
        <v>120645.47</v>
      </c>
      <c r="W1454" s="51">
        <v>120645.47</v>
      </c>
      <c r="X1454" s="51">
        <v>120645.47</v>
      </c>
      <c r="Y1454" s="19" t="s">
        <v>844</v>
      </c>
      <c r="Z1454" s="19" t="s">
        <v>4307</v>
      </c>
      <c r="AA1454" s="28" t="s">
        <v>8149</v>
      </c>
      <c r="AB1454" s="56">
        <v>43453</v>
      </c>
      <c r="AC1454" s="28" t="s">
        <v>8419</v>
      </c>
      <c r="AD1454" s="28" t="s">
        <v>8420</v>
      </c>
      <c r="AE1454" s="54" t="s">
        <v>8423</v>
      </c>
      <c r="AF1454" s="54"/>
      <c r="AG1454" s="54"/>
      <c r="AH1454" s="53" t="s">
        <v>1591</v>
      </c>
      <c r="AI1454" s="53" t="s">
        <v>2686</v>
      </c>
      <c r="AJ1454" s="53" t="s">
        <v>1591</v>
      </c>
    </row>
    <row r="1455" spans="1:36" s="3" customFormat="1" ht="60" x14ac:dyDescent="0.25">
      <c r="A1455" s="17" t="s">
        <v>1936</v>
      </c>
      <c r="B1455" s="34" t="s">
        <v>37</v>
      </c>
      <c r="C1455" s="19" t="s">
        <v>3585</v>
      </c>
      <c r="D1455" s="45" t="s">
        <v>3586</v>
      </c>
      <c r="E1455" s="50" t="s">
        <v>3866</v>
      </c>
      <c r="F1455" s="58" t="s">
        <v>562</v>
      </c>
      <c r="G1455" s="51" t="s">
        <v>3728</v>
      </c>
      <c r="H1455" s="51"/>
      <c r="I1455" s="50" t="s">
        <v>1221</v>
      </c>
      <c r="J1455" s="58" t="s">
        <v>3867</v>
      </c>
      <c r="K1455" s="52" t="s">
        <v>3868</v>
      </c>
      <c r="L1455" s="59" t="s">
        <v>3869</v>
      </c>
      <c r="M1455" s="60">
        <f>L1455+120</f>
        <v>41027</v>
      </c>
      <c r="N1455" s="51"/>
      <c r="O1455" s="59"/>
      <c r="P1455" s="59">
        <v>0</v>
      </c>
      <c r="Q1455" s="51"/>
      <c r="R1455" s="51">
        <f t="shared" si="54"/>
        <v>0</v>
      </c>
      <c r="S1455" s="51"/>
      <c r="T1455" s="52" t="s">
        <v>674</v>
      </c>
      <c r="U1455" s="51">
        <v>305391.90999999997</v>
      </c>
      <c r="V1455" s="51">
        <v>305391.90999999997</v>
      </c>
      <c r="W1455" s="51">
        <v>305391.90999999997</v>
      </c>
      <c r="X1455" s="51">
        <v>305391.90999999997</v>
      </c>
      <c r="Y1455" s="19" t="s">
        <v>330</v>
      </c>
      <c r="Z1455" s="19" t="s">
        <v>4307</v>
      </c>
      <c r="AA1455" s="28" t="s">
        <v>8149</v>
      </c>
      <c r="AB1455" s="56">
        <v>43453</v>
      </c>
      <c r="AC1455" s="28" t="s">
        <v>8419</v>
      </c>
      <c r="AD1455" s="28" t="s">
        <v>8420</v>
      </c>
      <c r="AE1455" s="54" t="s">
        <v>8423</v>
      </c>
      <c r="AF1455" s="54"/>
      <c r="AG1455" s="54" t="s">
        <v>8421</v>
      </c>
      <c r="AH1455" s="53" t="s">
        <v>1591</v>
      </c>
      <c r="AI1455" s="53" t="s">
        <v>2686</v>
      </c>
      <c r="AJ1455" s="53" t="s">
        <v>1591</v>
      </c>
    </row>
    <row r="1456" spans="1:36" s="3" customFormat="1" ht="24" x14ac:dyDescent="0.25">
      <c r="A1456" s="17" t="s">
        <v>1936</v>
      </c>
      <c r="B1456" s="34" t="s">
        <v>37</v>
      </c>
      <c r="C1456" s="19" t="s">
        <v>3578</v>
      </c>
      <c r="D1456" s="45" t="s">
        <v>3584</v>
      </c>
      <c r="E1456" s="50"/>
      <c r="F1456" s="58"/>
      <c r="G1456" s="51"/>
      <c r="H1456" s="51"/>
      <c r="I1456" s="50"/>
      <c r="J1456" s="58"/>
      <c r="K1456" s="52"/>
      <c r="L1456" s="59"/>
      <c r="M1456" s="60"/>
      <c r="N1456" s="51"/>
      <c r="O1456" s="59"/>
      <c r="P1456" s="59">
        <v>0</v>
      </c>
      <c r="Q1456" s="51"/>
      <c r="R1456" s="51">
        <f t="shared" si="54"/>
        <v>0</v>
      </c>
      <c r="S1456" s="51"/>
      <c r="T1456" s="52" t="s">
        <v>1086</v>
      </c>
      <c r="U1456" s="51">
        <v>893</v>
      </c>
      <c r="V1456" s="51">
        <v>893</v>
      </c>
      <c r="W1456" s="51">
        <v>893</v>
      </c>
      <c r="X1456" s="51">
        <v>893</v>
      </c>
      <c r="Y1456" s="19" t="s">
        <v>844</v>
      </c>
      <c r="Z1456" s="19" t="s">
        <v>4307</v>
      </c>
      <c r="AA1456" s="28" t="s">
        <v>8149</v>
      </c>
      <c r="AB1456" s="56">
        <v>43453</v>
      </c>
      <c r="AC1456" s="28" t="s">
        <v>8419</v>
      </c>
      <c r="AD1456" s="28" t="s">
        <v>8420</v>
      </c>
      <c r="AE1456" s="54" t="s">
        <v>8423</v>
      </c>
      <c r="AF1456" s="54"/>
      <c r="AG1456" s="54"/>
      <c r="AH1456" s="53" t="s">
        <v>1591</v>
      </c>
      <c r="AI1456" s="53" t="s">
        <v>2686</v>
      </c>
      <c r="AJ1456" s="53" t="s">
        <v>1591</v>
      </c>
    </row>
    <row r="1457" spans="1:36" s="3" customFormat="1" ht="24" x14ac:dyDescent="0.25">
      <c r="A1457" s="17" t="s">
        <v>1936</v>
      </c>
      <c r="B1457" s="34" t="s">
        <v>37</v>
      </c>
      <c r="C1457" s="19" t="s">
        <v>3578</v>
      </c>
      <c r="D1457" s="45" t="s">
        <v>3579</v>
      </c>
      <c r="E1457" s="50"/>
      <c r="F1457" s="58"/>
      <c r="G1457" s="51"/>
      <c r="H1457" s="51"/>
      <c r="I1457" s="50"/>
      <c r="J1457" s="58"/>
      <c r="K1457" s="52"/>
      <c r="L1457" s="59"/>
      <c r="M1457" s="60"/>
      <c r="N1457" s="51"/>
      <c r="O1457" s="59"/>
      <c r="P1457" s="59">
        <v>0</v>
      </c>
      <c r="Q1457" s="51"/>
      <c r="R1457" s="51">
        <f t="shared" si="54"/>
        <v>0</v>
      </c>
      <c r="S1457" s="51"/>
      <c r="T1457" s="52" t="s">
        <v>3941</v>
      </c>
      <c r="U1457" s="51">
        <v>83352.62</v>
      </c>
      <c r="V1457" s="51">
        <v>83352.62</v>
      </c>
      <c r="W1457" s="51">
        <v>83352.62</v>
      </c>
      <c r="X1457" s="51">
        <v>83352.62</v>
      </c>
      <c r="Y1457" s="19" t="s">
        <v>844</v>
      </c>
      <c r="Z1457" s="19" t="s">
        <v>4307</v>
      </c>
      <c r="AA1457" s="28" t="s">
        <v>8149</v>
      </c>
      <c r="AB1457" s="56">
        <v>43453</v>
      </c>
      <c r="AC1457" s="28" t="s">
        <v>8419</v>
      </c>
      <c r="AD1457" s="28" t="s">
        <v>8420</v>
      </c>
      <c r="AE1457" s="54" t="s">
        <v>8423</v>
      </c>
      <c r="AF1457" s="54"/>
      <c r="AG1457" s="54"/>
      <c r="AH1457" s="53" t="s">
        <v>1591</v>
      </c>
      <c r="AI1457" s="53" t="s">
        <v>2686</v>
      </c>
      <c r="AJ1457" s="53" t="s">
        <v>1591</v>
      </c>
    </row>
    <row r="1458" spans="1:36" s="3" customFormat="1" ht="84" x14ac:dyDescent="0.25">
      <c r="A1458" s="35" t="s">
        <v>2864</v>
      </c>
      <c r="B1458" s="18" t="s">
        <v>37</v>
      </c>
      <c r="C1458" s="76"/>
      <c r="D1458" s="43" t="s">
        <v>6838</v>
      </c>
      <c r="E1458" s="78"/>
      <c r="F1458" s="36" t="s">
        <v>6839</v>
      </c>
      <c r="G1458" s="80"/>
      <c r="H1458" s="80"/>
      <c r="I1458" s="36" t="s">
        <v>6840</v>
      </c>
      <c r="J1458" s="34" t="s">
        <v>6841</v>
      </c>
      <c r="K1458" s="37" t="s">
        <v>6842</v>
      </c>
      <c r="L1458" s="38">
        <v>41928</v>
      </c>
      <c r="M1458" s="39">
        <v>42288</v>
      </c>
      <c r="N1458" s="42">
        <v>1986477.3900000001</v>
      </c>
      <c r="O1458" s="85" t="s">
        <v>6843</v>
      </c>
      <c r="P1458" s="86">
        <v>42288</v>
      </c>
      <c r="Q1458" s="41"/>
      <c r="R1458" s="41">
        <v>1986477.3900000001</v>
      </c>
      <c r="S1458" s="80"/>
      <c r="T1458" s="81"/>
      <c r="U1458" s="80"/>
      <c r="V1458" s="80"/>
      <c r="W1458" s="42"/>
      <c r="X1458" s="42"/>
      <c r="Y1458" s="34" t="s">
        <v>4321</v>
      </c>
      <c r="Z1458" s="19" t="s">
        <v>7038</v>
      </c>
      <c r="AA1458" s="28" t="s">
        <v>8150</v>
      </c>
      <c r="AB1458" s="56">
        <v>43410</v>
      </c>
      <c r="AC1458" s="28"/>
      <c r="AD1458" s="28" t="s">
        <v>8151</v>
      </c>
      <c r="AE1458" s="54" t="s">
        <v>8342</v>
      </c>
      <c r="AF1458" s="54"/>
      <c r="AG1458" s="54" t="s">
        <v>8152</v>
      </c>
      <c r="AH1458" s="53" t="s">
        <v>1591</v>
      </c>
      <c r="AI1458" s="53" t="s">
        <v>2686</v>
      </c>
      <c r="AJ1458" s="53" t="s">
        <v>1591</v>
      </c>
    </row>
    <row r="1459" spans="1:36" s="3" customFormat="1" ht="36" x14ac:dyDescent="0.25">
      <c r="A1459" s="17" t="s">
        <v>2864</v>
      </c>
      <c r="B1459" s="34" t="s">
        <v>37</v>
      </c>
      <c r="C1459" s="19" t="s">
        <v>8343</v>
      </c>
      <c r="D1459" s="45" t="s">
        <v>8344</v>
      </c>
      <c r="E1459" s="50" t="s">
        <v>8345</v>
      </c>
      <c r="F1459" s="58" t="s">
        <v>4799</v>
      </c>
      <c r="G1459" s="51">
        <v>1288750.6599999999</v>
      </c>
      <c r="H1459" s="51"/>
      <c r="I1459" s="50" t="s">
        <v>3762</v>
      </c>
      <c r="J1459" s="58" t="s">
        <v>8346</v>
      </c>
      <c r="K1459" s="52" t="s">
        <v>635</v>
      </c>
      <c r="L1459" s="59"/>
      <c r="M1459" s="60"/>
      <c r="N1459" s="51">
        <v>1288750.6599999999</v>
      </c>
      <c r="O1459" s="59"/>
      <c r="P1459" s="59">
        <v>0</v>
      </c>
      <c r="Q1459" s="51"/>
      <c r="R1459" s="51">
        <f>N1459+Q1459</f>
        <v>1288750.6599999999</v>
      </c>
      <c r="S1459" s="51"/>
      <c r="T1459" s="52"/>
      <c r="U1459" s="51">
        <v>373737.69</v>
      </c>
      <c r="V1459" s="51">
        <v>0</v>
      </c>
      <c r="W1459" s="51"/>
      <c r="X1459" s="51">
        <v>373737.69</v>
      </c>
      <c r="Y1459" s="19" t="s">
        <v>2863</v>
      </c>
      <c r="Z1459" s="19" t="s">
        <v>8347</v>
      </c>
      <c r="AA1459" s="28" t="s">
        <v>8150</v>
      </c>
      <c r="AB1459" s="56">
        <v>43410</v>
      </c>
      <c r="AC1459" s="28"/>
      <c r="AD1459" s="28" t="s">
        <v>8151</v>
      </c>
      <c r="AE1459" s="54"/>
      <c r="AF1459" s="54"/>
      <c r="AG1459" s="54" t="s">
        <v>8351</v>
      </c>
      <c r="AH1459" s="53" t="s">
        <v>1591</v>
      </c>
      <c r="AI1459" s="53" t="s">
        <v>2686</v>
      </c>
      <c r="AJ1459" s="53" t="s">
        <v>1591</v>
      </c>
    </row>
    <row r="1460" spans="1:36" s="3" customFormat="1" ht="36" x14ac:dyDescent="0.25">
      <c r="A1460" s="17" t="s">
        <v>2864</v>
      </c>
      <c r="B1460" s="34" t="s">
        <v>37</v>
      </c>
      <c r="C1460" s="19" t="s">
        <v>3371</v>
      </c>
      <c r="D1460" s="45" t="s">
        <v>8348</v>
      </c>
      <c r="E1460" s="50" t="s">
        <v>8349</v>
      </c>
      <c r="F1460" s="58" t="s">
        <v>4799</v>
      </c>
      <c r="G1460" s="51">
        <v>504605.4</v>
      </c>
      <c r="H1460" s="51"/>
      <c r="I1460" s="50" t="s">
        <v>900</v>
      </c>
      <c r="J1460" s="58" t="s">
        <v>8350</v>
      </c>
      <c r="K1460" s="52" t="s">
        <v>237</v>
      </c>
      <c r="L1460" s="59"/>
      <c r="M1460" s="60"/>
      <c r="N1460" s="51">
        <v>504605.4</v>
      </c>
      <c r="O1460" s="59"/>
      <c r="P1460" s="59">
        <v>0</v>
      </c>
      <c r="Q1460" s="51"/>
      <c r="R1460" s="51">
        <f t="shared" ref="R1460:R1465" si="55">N1460+Q1460</f>
        <v>504605.4</v>
      </c>
      <c r="S1460" s="51"/>
      <c r="T1460" s="52"/>
      <c r="U1460" s="51">
        <v>252302.71</v>
      </c>
      <c r="V1460" s="51">
        <v>0</v>
      </c>
      <c r="W1460" s="51">
        <v>0</v>
      </c>
      <c r="X1460" s="51">
        <v>252302.71</v>
      </c>
      <c r="Y1460" s="19" t="s">
        <v>2863</v>
      </c>
      <c r="Z1460" s="19" t="s">
        <v>8347</v>
      </c>
      <c r="AA1460" s="28" t="s">
        <v>8150</v>
      </c>
      <c r="AB1460" s="56">
        <v>43410</v>
      </c>
      <c r="AC1460" s="28"/>
      <c r="AD1460" s="28" t="s">
        <v>8151</v>
      </c>
      <c r="AE1460" s="54"/>
      <c r="AF1460" s="54"/>
      <c r="AG1460" s="54" t="s">
        <v>8352</v>
      </c>
      <c r="AH1460" s="53" t="s">
        <v>1591</v>
      </c>
      <c r="AI1460" s="53" t="s">
        <v>2686</v>
      </c>
      <c r="AJ1460" s="53" t="s">
        <v>1591</v>
      </c>
    </row>
    <row r="1461" spans="1:36" s="3" customFormat="1" ht="84" x14ac:dyDescent="0.25">
      <c r="A1461" s="17" t="s">
        <v>1940</v>
      </c>
      <c r="B1461" s="34" t="s">
        <v>37</v>
      </c>
      <c r="C1461" s="19" t="s">
        <v>1952</v>
      </c>
      <c r="D1461" s="45" t="s">
        <v>3568</v>
      </c>
      <c r="E1461" s="50" t="s">
        <v>203</v>
      </c>
      <c r="F1461" s="58" t="s">
        <v>889</v>
      </c>
      <c r="G1461" s="51">
        <v>2000029.79</v>
      </c>
      <c r="H1461" s="51">
        <v>2083.64</v>
      </c>
      <c r="I1461" s="50" t="s">
        <v>67</v>
      </c>
      <c r="J1461" s="58" t="s">
        <v>1946</v>
      </c>
      <c r="K1461" s="52" t="s">
        <v>62</v>
      </c>
      <c r="L1461" s="59">
        <v>41967</v>
      </c>
      <c r="M1461" s="60">
        <f>L1461+90</f>
        <v>42057</v>
      </c>
      <c r="N1461" s="51">
        <v>2000001.21</v>
      </c>
      <c r="O1461" s="59" t="s">
        <v>46</v>
      </c>
      <c r="P1461" s="59">
        <f>M1461+810</f>
        <v>42867</v>
      </c>
      <c r="Q1461" s="51"/>
      <c r="R1461" s="51">
        <f t="shared" si="55"/>
        <v>2000001.21</v>
      </c>
      <c r="S1461" s="51"/>
      <c r="T1461" s="52" t="s">
        <v>52</v>
      </c>
      <c r="U1461" s="51">
        <v>1199992.5</v>
      </c>
      <c r="V1461" s="51">
        <v>0</v>
      </c>
      <c r="W1461" s="51">
        <v>0</v>
      </c>
      <c r="X1461" s="51">
        <v>1199992.5</v>
      </c>
      <c r="Y1461" s="19" t="s">
        <v>3938</v>
      </c>
      <c r="Z1461" s="19"/>
      <c r="AA1461" s="28" t="s">
        <v>8153</v>
      </c>
      <c r="AB1461" s="56">
        <v>43425</v>
      </c>
      <c r="AC1461" s="28" t="s">
        <v>8154</v>
      </c>
      <c r="AD1461" s="28" t="s">
        <v>8155</v>
      </c>
      <c r="AE1461" s="54" t="s">
        <v>8156</v>
      </c>
      <c r="AF1461" s="54"/>
      <c r="AG1461" s="54" t="s">
        <v>8157</v>
      </c>
      <c r="AH1461" s="53" t="s">
        <v>1591</v>
      </c>
      <c r="AI1461" s="53" t="s">
        <v>2686</v>
      </c>
      <c r="AJ1461" s="53" t="s">
        <v>1591</v>
      </c>
    </row>
    <row r="1462" spans="1:36" s="3" customFormat="1" ht="60" x14ac:dyDescent="0.25">
      <c r="A1462" s="17" t="s">
        <v>1940</v>
      </c>
      <c r="B1462" s="34" t="s">
        <v>37</v>
      </c>
      <c r="C1462" s="19" t="s">
        <v>1953</v>
      </c>
      <c r="D1462" s="45" t="s">
        <v>3569</v>
      </c>
      <c r="E1462" s="50" t="s">
        <v>1954</v>
      </c>
      <c r="F1462" s="58" t="s">
        <v>1481</v>
      </c>
      <c r="G1462" s="51">
        <v>0</v>
      </c>
      <c r="H1462" s="51">
        <v>0</v>
      </c>
      <c r="I1462" s="50" t="s">
        <v>1948</v>
      </c>
      <c r="J1462" s="58" t="s">
        <v>1949</v>
      </c>
      <c r="K1462" s="52" t="s">
        <v>1562</v>
      </c>
      <c r="L1462" s="59">
        <v>42009</v>
      </c>
      <c r="M1462" s="60">
        <f>L1462+365</f>
        <v>42374</v>
      </c>
      <c r="N1462" s="51">
        <v>989101.2</v>
      </c>
      <c r="O1462" s="59" t="s">
        <v>46</v>
      </c>
      <c r="P1462" s="59">
        <f>M1462+1080</f>
        <v>43454</v>
      </c>
      <c r="Q1462" s="51">
        <v>112828.45</v>
      </c>
      <c r="R1462" s="51">
        <f t="shared" si="55"/>
        <v>1101929.6499999999</v>
      </c>
      <c r="S1462" s="51"/>
      <c r="T1462" s="52" t="s">
        <v>52</v>
      </c>
      <c r="U1462" s="51">
        <v>945736.66</v>
      </c>
      <c r="V1462" s="51">
        <v>0</v>
      </c>
      <c r="W1462" s="51">
        <v>0</v>
      </c>
      <c r="X1462" s="51">
        <v>945736.66</v>
      </c>
      <c r="Y1462" s="19" t="s">
        <v>202</v>
      </c>
      <c r="Z1462" s="19"/>
      <c r="AA1462" s="28" t="s">
        <v>8153</v>
      </c>
      <c r="AB1462" s="56">
        <v>43425</v>
      </c>
      <c r="AC1462" s="28" t="s">
        <v>8154</v>
      </c>
      <c r="AD1462" s="28" t="s">
        <v>8155</v>
      </c>
      <c r="AE1462" s="54" t="s">
        <v>8158</v>
      </c>
      <c r="AF1462" s="54"/>
      <c r="AG1462" s="54" t="s">
        <v>8159</v>
      </c>
      <c r="AH1462" s="53" t="s">
        <v>1591</v>
      </c>
      <c r="AI1462" s="53" t="s">
        <v>2686</v>
      </c>
      <c r="AJ1462" s="53" t="s">
        <v>1591</v>
      </c>
    </row>
    <row r="1463" spans="1:36" s="3" customFormat="1" ht="120" x14ac:dyDescent="0.25">
      <c r="A1463" s="17" t="s">
        <v>1940</v>
      </c>
      <c r="B1463" s="34" t="s">
        <v>37</v>
      </c>
      <c r="C1463" s="19" t="s">
        <v>1950</v>
      </c>
      <c r="D1463" s="45" t="s">
        <v>1951</v>
      </c>
      <c r="E1463" s="50" t="s">
        <v>1548</v>
      </c>
      <c r="F1463" s="58" t="s">
        <v>661</v>
      </c>
      <c r="G1463" s="51">
        <v>905639.88</v>
      </c>
      <c r="H1463" s="51">
        <v>31496.02</v>
      </c>
      <c r="I1463" s="50" t="s">
        <v>1948</v>
      </c>
      <c r="J1463" s="58" t="s">
        <v>1949</v>
      </c>
      <c r="K1463" s="52" t="s">
        <v>1202</v>
      </c>
      <c r="L1463" s="59">
        <v>41920</v>
      </c>
      <c r="M1463" s="60">
        <f>L1463+120</f>
        <v>42040</v>
      </c>
      <c r="N1463" s="51">
        <v>937135.9</v>
      </c>
      <c r="O1463" s="59" t="s">
        <v>46</v>
      </c>
      <c r="P1463" s="59">
        <f>M1463+600</f>
        <v>42640</v>
      </c>
      <c r="Q1463" s="51"/>
      <c r="R1463" s="51">
        <f t="shared" si="55"/>
        <v>937135.9</v>
      </c>
      <c r="S1463" s="51"/>
      <c r="T1463" s="52" t="s">
        <v>52</v>
      </c>
      <c r="U1463" s="51">
        <v>625687.21</v>
      </c>
      <c r="V1463" s="51">
        <v>0</v>
      </c>
      <c r="W1463" s="51">
        <v>0</v>
      </c>
      <c r="X1463" s="51">
        <v>625687.21</v>
      </c>
      <c r="Y1463" s="19" t="s">
        <v>202</v>
      </c>
      <c r="Z1463" s="19"/>
      <c r="AA1463" s="28" t="s">
        <v>8153</v>
      </c>
      <c r="AB1463" s="56">
        <v>43425</v>
      </c>
      <c r="AC1463" s="28" t="s">
        <v>8154</v>
      </c>
      <c r="AD1463" s="28" t="s">
        <v>8155</v>
      </c>
      <c r="AE1463" s="54" t="s">
        <v>8160</v>
      </c>
      <c r="AF1463" s="54"/>
      <c r="AG1463" s="54" t="s">
        <v>8161</v>
      </c>
      <c r="AH1463" s="53" t="s">
        <v>1591</v>
      </c>
      <c r="AI1463" s="53" t="s">
        <v>2686</v>
      </c>
      <c r="AJ1463" s="53" t="s">
        <v>1591</v>
      </c>
    </row>
    <row r="1464" spans="1:36" s="3" customFormat="1" ht="60" x14ac:dyDescent="0.25">
      <c r="A1464" s="17" t="s">
        <v>1940</v>
      </c>
      <c r="B1464" s="34" t="s">
        <v>37</v>
      </c>
      <c r="C1464" s="19" t="s">
        <v>1955</v>
      </c>
      <c r="D1464" s="45" t="s">
        <v>1956</v>
      </c>
      <c r="E1464" s="50" t="s">
        <v>1957</v>
      </c>
      <c r="F1464" s="58" t="s">
        <v>1481</v>
      </c>
      <c r="G1464" s="51">
        <v>0</v>
      </c>
      <c r="H1464" s="51">
        <v>0</v>
      </c>
      <c r="I1464" s="50" t="s">
        <v>1948</v>
      </c>
      <c r="J1464" s="58" t="s">
        <v>1949</v>
      </c>
      <c r="K1464" s="52" t="s">
        <v>86</v>
      </c>
      <c r="L1464" s="59">
        <v>42320</v>
      </c>
      <c r="M1464" s="60">
        <f>L1464+180</f>
        <v>42500</v>
      </c>
      <c r="N1464" s="51">
        <v>736527.24</v>
      </c>
      <c r="O1464" s="59" t="s">
        <v>46</v>
      </c>
      <c r="P1464" s="59">
        <f>M1464+180</f>
        <v>42680</v>
      </c>
      <c r="Q1464" s="51">
        <v>113587.01</v>
      </c>
      <c r="R1464" s="51">
        <f t="shared" si="55"/>
        <v>850114.25</v>
      </c>
      <c r="S1464" s="51"/>
      <c r="T1464" s="52" t="s">
        <v>52</v>
      </c>
      <c r="U1464" s="51">
        <v>494600.57</v>
      </c>
      <c r="V1464" s="51">
        <v>75532.429999999993</v>
      </c>
      <c r="W1464" s="51">
        <v>75532.429999999993</v>
      </c>
      <c r="X1464" s="51">
        <v>494600.57</v>
      </c>
      <c r="Y1464" s="19" t="s">
        <v>202</v>
      </c>
      <c r="Z1464" s="19"/>
      <c r="AA1464" s="28" t="s">
        <v>8153</v>
      </c>
      <c r="AB1464" s="56">
        <v>43425</v>
      </c>
      <c r="AC1464" s="28" t="s">
        <v>8154</v>
      </c>
      <c r="AD1464" s="28" t="s">
        <v>8155</v>
      </c>
      <c r="AE1464" s="54" t="s">
        <v>8162</v>
      </c>
      <c r="AF1464" s="54"/>
      <c r="AG1464" s="54" t="s">
        <v>8163</v>
      </c>
      <c r="AH1464" s="53" t="s">
        <v>1591</v>
      </c>
      <c r="AI1464" s="53" t="s">
        <v>2686</v>
      </c>
      <c r="AJ1464" s="53" t="s">
        <v>1591</v>
      </c>
    </row>
    <row r="1465" spans="1:36" s="3" customFormat="1" ht="108" x14ac:dyDescent="0.25">
      <c r="A1465" s="17" t="s">
        <v>1940</v>
      </c>
      <c r="B1465" s="34" t="s">
        <v>37</v>
      </c>
      <c r="C1465" s="19" t="s">
        <v>1941</v>
      </c>
      <c r="D1465" s="45" t="s">
        <v>1942</v>
      </c>
      <c r="E1465" s="50" t="s">
        <v>1943</v>
      </c>
      <c r="F1465" s="58" t="s">
        <v>562</v>
      </c>
      <c r="G1465" s="51">
        <v>650000</v>
      </c>
      <c r="H1465" s="51">
        <v>21042.74</v>
      </c>
      <c r="I1465" s="50" t="s">
        <v>994</v>
      </c>
      <c r="J1465" s="58" t="s">
        <v>1944</v>
      </c>
      <c r="K1465" s="52" t="s">
        <v>1945</v>
      </c>
      <c r="L1465" s="59">
        <v>39622</v>
      </c>
      <c r="M1465" s="60">
        <f>L1465+365</f>
        <v>39987</v>
      </c>
      <c r="N1465" s="51">
        <v>669577.06000000006</v>
      </c>
      <c r="O1465" s="59" t="s">
        <v>3916</v>
      </c>
      <c r="P1465" s="59">
        <v>0</v>
      </c>
      <c r="Q1465" s="51"/>
      <c r="R1465" s="51">
        <f t="shared" si="55"/>
        <v>669577.06000000006</v>
      </c>
      <c r="S1465" s="51"/>
      <c r="T1465" s="52" t="s">
        <v>52</v>
      </c>
      <c r="U1465" s="51">
        <v>588942.14</v>
      </c>
      <c r="V1465" s="51">
        <v>0</v>
      </c>
      <c r="W1465" s="51">
        <v>0</v>
      </c>
      <c r="X1465" s="51">
        <v>588942.14</v>
      </c>
      <c r="Y1465" s="19" t="s">
        <v>3937</v>
      </c>
      <c r="Z1465" s="19"/>
      <c r="AA1465" s="28" t="s">
        <v>8153</v>
      </c>
      <c r="AB1465" s="56">
        <v>43425</v>
      </c>
      <c r="AC1465" s="28" t="s">
        <v>8154</v>
      </c>
      <c r="AD1465" s="28" t="s">
        <v>8155</v>
      </c>
      <c r="AE1465" s="54" t="s">
        <v>8164</v>
      </c>
      <c r="AF1465" s="54"/>
      <c r="AG1465" s="54" t="s">
        <v>8165</v>
      </c>
      <c r="AH1465" s="53" t="s">
        <v>1591</v>
      </c>
      <c r="AI1465" s="53" t="s">
        <v>2686</v>
      </c>
      <c r="AJ1465" s="53" t="s">
        <v>1591</v>
      </c>
    </row>
    <row r="1466" spans="1:36" s="3" customFormat="1" ht="144" x14ac:dyDescent="0.25">
      <c r="A1466" s="17" t="s">
        <v>1940</v>
      </c>
      <c r="B1466" s="18" t="s">
        <v>37</v>
      </c>
      <c r="C1466" s="76" t="s">
        <v>6844</v>
      </c>
      <c r="D1466" s="45" t="s">
        <v>6845</v>
      </c>
      <c r="E1466" s="78" t="s">
        <v>6846</v>
      </c>
      <c r="F1466" s="79" t="s">
        <v>252</v>
      </c>
      <c r="G1466" s="80">
        <v>408000</v>
      </c>
      <c r="H1466" s="80">
        <v>0</v>
      </c>
      <c r="I1466" s="78" t="s">
        <v>900</v>
      </c>
      <c r="J1466" s="79" t="s">
        <v>1947</v>
      </c>
      <c r="K1466" s="81" t="s">
        <v>395</v>
      </c>
      <c r="L1466" s="82">
        <v>41709</v>
      </c>
      <c r="M1466" s="83">
        <v>41949</v>
      </c>
      <c r="N1466" s="80">
        <v>355400.98</v>
      </c>
      <c r="O1466" s="82" t="s">
        <v>46</v>
      </c>
      <c r="P1466" s="84" t="s">
        <v>4370</v>
      </c>
      <c r="Q1466" s="80">
        <v>7784.2000000000116</v>
      </c>
      <c r="R1466" s="80">
        <v>363185.18</v>
      </c>
      <c r="S1466" s="80"/>
      <c r="T1466" s="81" t="s">
        <v>52</v>
      </c>
      <c r="U1466" s="80">
        <v>148161.60999999999</v>
      </c>
      <c r="V1466" s="80"/>
      <c r="W1466" s="80"/>
      <c r="X1466" s="80">
        <v>148161.60999999999</v>
      </c>
      <c r="Y1466" s="76" t="s">
        <v>6847</v>
      </c>
      <c r="Z1466" s="19" t="s">
        <v>7038</v>
      </c>
      <c r="AA1466" s="28" t="s">
        <v>8153</v>
      </c>
      <c r="AB1466" s="56">
        <v>43425</v>
      </c>
      <c r="AC1466" s="28" t="s">
        <v>8154</v>
      </c>
      <c r="AD1466" s="28" t="s">
        <v>8155</v>
      </c>
      <c r="AE1466" s="54" t="s">
        <v>8166</v>
      </c>
      <c r="AF1466" s="54"/>
      <c r="AG1466" s="54" t="s">
        <v>8167</v>
      </c>
      <c r="AH1466" s="53" t="s">
        <v>1591</v>
      </c>
      <c r="AI1466" s="53" t="s">
        <v>2686</v>
      </c>
      <c r="AJ1466" s="53" t="s">
        <v>1591</v>
      </c>
    </row>
    <row r="1467" spans="1:36" s="3" customFormat="1" ht="48" x14ac:dyDescent="0.25">
      <c r="A1467" s="17" t="s">
        <v>1958</v>
      </c>
      <c r="B1467" s="18" t="s">
        <v>37</v>
      </c>
      <c r="C1467" s="76" t="s">
        <v>1025</v>
      </c>
      <c r="D1467" s="45" t="s">
        <v>6851</v>
      </c>
      <c r="E1467" s="78" t="s">
        <v>6848</v>
      </c>
      <c r="F1467" s="79" t="s">
        <v>60</v>
      </c>
      <c r="G1467" s="80" t="s">
        <v>6849</v>
      </c>
      <c r="H1467" s="80" t="s">
        <v>6849</v>
      </c>
      <c r="I1467" s="78" t="s">
        <v>517</v>
      </c>
      <c r="J1467" s="79" t="s">
        <v>6852</v>
      </c>
      <c r="K1467" s="81" t="s">
        <v>1959</v>
      </c>
      <c r="L1467" s="82">
        <v>41781</v>
      </c>
      <c r="M1467" s="83">
        <v>41961</v>
      </c>
      <c r="N1467" s="80">
        <v>528083.11</v>
      </c>
      <c r="O1467" s="82" t="s">
        <v>6848</v>
      </c>
      <c r="P1467" s="84" t="s">
        <v>6850</v>
      </c>
      <c r="Q1467" s="80">
        <v>0</v>
      </c>
      <c r="R1467" s="80">
        <v>528083.11</v>
      </c>
      <c r="S1467" s="80" t="s">
        <v>6849</v>
      </c>
      <c r="T1467" s="81" t="s">
        <v>45</v>
      </c>
      <c r="U1467" s="80">
        <v>189635.65</v>
      </c>
      <c r="V1467" s="80"/>
      <c r="W1467" s="80"/>
      <c r="X1467" s="80">
        <v>189635.65</v>
      </c>
      <c r="Y1467" s="76" t="s">
        <v>498</v>
      </c>
      <c r="Z1467" s="19" t="s">
        <v>7038</v>
      </c>
      <c r="AA1467" s="28" t="s">
        <v>8168</v>
      </c>
      <c r="AB1467" s="56">
        <v>43427</v>
      </c>
      <c r="AC1467" s="28" t="s">
        <v>7478</v>
      </c>
      <c r="AD1467" s="28" t="s">
        <v>8169</v>
      </c>
      <c r="AE1467" s="54" t="s">
        <v>8170</v>
      </c>
      <c r="AF1467" s="54"/>
      <c r="AG1467" s="54" t="s">
        <v>8171</v>
      </c>
      <c r="AH1467" s="53" t="s">
        <v>1591</v>
      </c>
      <c r="AI1467" s="53" t="s">
        <v>2686</v>
      </c>
      <c r="AJ1467" s="53" t="s">
        <v>1591</v>
      </c>
    </row>
    <row r="1468" spans="1:36" s="3" customFormat="1" ht="36" x14ac:dyDescent="0.25">
      <c r="A1468" s="17" t="s">
        <v>1958</v>
      </c>
      <c r="B1468" s="18" t="s">
        <v>37</v>
      </c>
      <c r="C1468" s="76" t="s">
        <v>6853</v>
      </c>
      <c r="D1468" s="45" t="s">
        <v>6870</v>
      </c>
      <c r="E1468" s="78" t="s">
        <v>6848</v>
      </c>
      <c r="F1468" s="79" t="s">
        <v>1453</v>
      </c>
      <c r="G1468" s="80" t="s">
        <v>6849</v>
      </c>
      <c r="H1468" s="80" t="s">
        <v>6849</v>
      </c>
      <c r="I1468" s="78" t="s">
        <v>1296</v>
      </c>
      <c r="J1468" s="79" t="s">
        <v>6871</v>
      </c>
      <c r="K1468" s="81" t="s">
        <v>6848</v>
      </c>
      <c r="L1468" s="82"/>
      <c r="M1468" s="83"/>
      <c r="N1468" s="80"/>
      <c r="O1468" s="82" t="s">
        <v>6848</v>
      </c>
      <c r="P1468" s="84" t="s">
        <v>6850</v>
      </c>
      <c r="Q1468" s="80">
        <v>0</v>
      </c>
      <c r="R1468" s="80"/>
      <c r="S1468" s="80"/>
      <c r="T1468" s="81" t="s">
        <v>45</v>
      </c>
      <c r="U1468" s="80">
        <v>34122.800000000003</v>
      </c>
      <c r="V1468" s="80"/>
      <c r="W1468" s="80"/>
      <c r="X1468" s="80">
        <v>34122.800000000003</v>
      </c>
      <c r="Y1468" s="76" t="s">
        <v>149</v>
      </c>
      <c r="Z1468" s="19" t="s">
        <v>7038</v>
      </c>
      <c r="AA1468" s="28"/>
      <c r="AB1468" s="56"/>
      <c r="AC1468" s="28"/>
      <c r="AD1468" s="28"/>
      <c r="AE1468" s="54"/>
      <c r="AF1468" s="54"/>
      <c r="AG1468" s="54"/>
      <c r="AH1468" s="53"/>
      <c r="AI1468" s="53" t="s">
        <v>1591</v>
      </c>
      <c r="AJ1468" s="53" t="s">
        <v>1591</v>
      </c>
    </row>
    <row r="1469" spans="1:36" s="3" customFormat="1" ht="36" x14ac:dyDescent="0.25">
      <c r="A1469" s="17" t="s">
        <v>1958</v>
      </c>
      <c r="B1469" s="18" t="s">
        <v>37</v>
      </c>
      <c r="C1469" s="76" t="s">
        <v>6853</v>
      </c>
      <c r="D1469" s="45" t="s">
        <v>6875</v>
      </c>
      <c r="E1469" s="78" t="s">
        <v>6848</v>
      </c>
      <c r="F1469" s="79" t="s">
        <v>6866</v>
      </c>
      <c r="G1469" s="80" t="s">
        <v>6849</v>
      </c>
      <c r="H1469" s="80" t="s">
        <v>6849</v>
      </c>
      <c r="I1469" s="78" t="s">
        <v>1960</v>
      </c>
      <c r="J1469" s="79" t="s">
        <v>6577</v>
      </c>
      <c r="K1469" s="81" t="s">
        <v>6848</v>
      </c>
      <c r="L1469" s="82"/>
      <c r="M1469" s="83"/>
      <c r="N1469" s="80"/>
      <c r="O1469" s="82" t="s">
        <v>6848</v>
      </c>
      <c r="P1469" s="84" t="s">
        <v>6850</v>
      </c>
      <c r="Q1469" s="80">
        <v>0</v>
      </c>
      <c r="R1469" s="80"/>
      <c r="S1469" s="80"/>
      <c r="T1469" s="81" t="s">
        <v>45</v>
      </c>
      <c r="U1469" s="80">
        <v>2088.4</v>
      </c>
      <c r="V1469" s="80"/>
      <c r="W1469" s="80"/>
      <c r="X1469" s="80">
        <v>2088.4</v>
      </c>
      <c r="Y1469" s="76" t="s">
        <v>149</v>
      </c>
      <c r="Z1469" s="19" t="s">
        <v>7038</v>
      </c>
      <c r="AA1469" s="28"/>
      <c r="AB1469" s="56"/>
      <c r="AC1469" s="28"/>
      <c r="AD1469" s="28"/>
      <c r="AE1469" s="54"/>
      <c r="AF1469" s="54"/>
      <c r="AG1469" s="54"/>
      <c r="AH1469" s="53"/>
      <c r="AI1469" s="53" t="s">
        <v>1591</v>
      </c>
      <c r="AJ1469" s="53" t="s">
        <v>1591</v>
      </c>
    </row>
    <row r="1470" spans="1:36" s="3" customFormat="1" ht="36" x14ac:dyDescent="0.25">
      <c r="A1470" s="17" t="s">
        <v>1958</v>
      </c>
      <c r="B1470" s="18" t="s">
        <v>37</v>
      </c>
      <c r="C1470" s="76" t="s">
        <v>6853</v>
      </c>
      <c r="D1470" s="45" t="s">
        <v>6880</v>
      </c>
      <c r="E1470" s="78" t="s">
        <v>6848</v>
      </c>
      <c r="F1470" s="79" t="s">
        <v>6866</v>
      </c>
      <c r="G1470" s="80" t="s">
        <v>6849</v>
      </c>
      <c r="H1470" s="80" t="s">
        <v>6849</v>
      </c>
      <c r="I1470" s="78" t="s">
        <v>1960</v>
      </c>
      <c r="J1470" s="79" t="s">
        <v>6577</v>
      </c>
      <c r="K1470" s="81" t="s">
        <v>6848</v>
      </c>
      <c r="L1470" s="82"/>
      <c r="M1470" s="83"/>
      <c r="N1470" s="80"/>
      <c r="O1470" s="82" t="s">
        <v>6848</v>
      </c>
      <c r="P1470" s="84" t="s">
        <v>6850</v>
      </c>
      <c r="Q1470" s="80">
        <v>0</v>
      </c>
      <c r="R1470" s="80"/>
      <c r="S1470" s="80"/>
      <c r="T1470" s="81" t="s">
        <v>45</v>
      </c>
      <c r="U1470" s="80">
        <v>2088.4</v>
      </c>
      <c r="V1470" s="80"/>
      <c r="W1470" s="80"/>
      <c r="X1470" s="80">
        <v>2088.4</v>
      </c>
      <c r="Y1470" s="76" t="s">
        <v>149</v>
      </c>
      <c r="Z1470" s="19" t="s">
        <v>7038</v>
      </c>
      <c r="AA1470" s="28"/>
      <c r="AB1470" s="56"/>
      <c r="AC1470" s="28"/>
      <c r="AD1470" s="28"/>
      <c r="AE1470" s="54"/>
      <c r="AF1470" s="54"/>
      <c r="AG1470" s="54"/>
      <c r="AH1470" s="53"/>
      <c r="AI1470" s="53" t="s">
        <v>1591</v>
      </c>
      <c r="AJ1470" s="53" t="s">
        <v>1591</v>
      </c>
    </row>
    <row r="1471" spans="1:36" s="3" customFormat="1" ht="36" x14ac:dyDescent="0.25">
      <c r="A1471" s="17" t="s">
        <v>1958</v>
      </c>
      <c r="B1471" s="18" t="s">
        <v>37</v>
      </c>
      <c r="C1471" s="76" t="s">
        <v>6853</v>
      </c>
      <c r="D1471" s="45" t="s">
        <v>6881</v>
      </c>
      <c r="E1471" s="78" t="s">
        <v>6848</v>
      </c>
      <c r="F1471" s="79" t="s">
        <v>6866</v>
      </c>
      <c r="G1471" s="80" t="s">
        <v>6849</v>
      </c>
      <c r="H1471" s="80" t="s">
        <v>6849</v>
      </c>
      <c r="I1471" s="78" t="s">
        <v>1960</v>
      </c>
      <c r="J1471" s="79" t="s">
        <v>6577</v>
      </c>
      <c r="K1471" s="81" t="s">
        <v>6848</v>
      </c>
      <c r="L1471" s="82"/>
      <c r="M1471" s="83"/>
      <c r="N1471" s="80"/>
      <c r="O1471" s="82" t="s">
        <v>6848</v>
      </c>
      <c r="P1471" s="84" t="s">
        <v>6850</v>
      </c>
      <c r="Q1471" s="80">
        <v>0</v>
      </c>
      <c r="R1471" s="80"/>
      <c r="S1471" s="80"/>
      <c r="T1471" s="81" t="s">
        <v>45</v>
      </c>
      <c r="U1471" s="80">
        <v>2088.4</v>
      </c>
      <c r="V1471" s="80"/>
      <c r="W1471" s="80"/>
      <c r="X1471" s="80">
        <v>2088.4</v>
      </c>
      <c r="Y1471" s="76" t="s">
        <v>149</v>
      </c>
      <c r="Z1471" s="19" t="s">
        <v>7038</v>
      </c>
      <c r="AA1471" s="28"/>
      <c r="AB1471" s="56"/>
      <c r="AC1471" s="28"/>
      <c r="AD1471" s="28"/>
      <c r="AE1471" s="54"/>
      <c r="AF1471" s="54"/>
      <c r="AG1471" s="54"/>
      <c r="AH1471" s="53"/>
      <c r="AI1471" s="53" t="s">
        <v>1591</v>
      </c>
      <c r="AJ1471" s="53" t="s">
        <v>1591</v>
      </c>
    </row>
    <row r="1472" spans="1:36" s="3" customFormat="1" ht="36" x14ac:dyDescent="0.25">
      <c r="A1472" s="17" t="s">
        <v>1958</v>
      </c>
      <c r="B1472" s="18" t="s">
        <v>37</v>
      </c>
      <c r="C1472" s="76" t="s">
        <v>6853</v>
      </c>
      <c r="D1472" s="45" t="s">
        <v>6884</v>
      </c>
      <c r="E1472" s="78" t="s">
        <v>6848</v>
      </c>
      <c r="F1472" s="79" t="s">
        <v>1453</v>
      </c>
      <c r="G1472" s="80" t="s">
        <v>6849</v>
      </c>
      <c r="H1472" s="80" t="s">
        <v>6849</v>
      </c>
      <c r="I1472" s="78" t="s">
        <v>6856</v>
      </c>
      <c r="J1472" s="79" t="s">
        <v>6857</v>
      </c>
      <c r="K1472" s="81" t="s">
        <v>6848</v>
      </c>
      <c r="L1472" s="82"/>
      <c r="M1472" s="83"/>
      <c r="N1472" s="80"/>
      <c r="O1472" s="82" t="s">
        <v>6848</v>
      </c>
      <c r="P1472" s="84" t="s">
        <v>6850</v>
      </c>
      <c r="Q1472" s="80">
        <v>0</v>
      </c>
      <c r="R1472" s="80"/>
      <c r="S1472" s="80"/>
      <c r="T1472" s="81" t="s">
        <v>1083</v>
      </c>
      <c r="U1472" s="80">
        <v>2369.2399999999998</v>
      </c>
      <c r="V1472" s="80"/>
      <c r="W1472" s="80"/>
      <c r="X1472" s="80">
        <v>2369.2399999999998</v>
      </c>
      <c r="Y1472" s="76" t="s">
        <v>149</v>
      </c>
      <c r="Z1472" s="19" t="s">
        <v>7038</v>
      </c>
      <c r="AA1472" s="28"/>
      <c r="AB1472" s="56"/>
      <c r="AC1472" s="28"/>
      <c r="AD1472" s="28"/>
      <c r="AE1472" s="54"/>
      <c r="AF1472" s="54"/>
      <c r="AG1472" s="54"/>
      <c r="AH1472" s="53"/>
      <c r="AI1472" s="53" t="s">
        <v>1591</v>
      </c>
      <c r="AJ1472" s="53" t="s">
        <v>1591</v>
      </c>
    </row>
    <row r="1473" spans="1:36" s="3" customFormat="1" ht="36" x14ac:dyDescent="0.25">
      <c r="A1473" s="17" t="s">
        <v>1958</v>
      </c>
      <c r="B1473" s="18" t="s">
        <v>37</v>
      </c>
      <c r="C1473" s="76" t="s">
        <v>6853</v>
      </c>
      <c r="D1473" s="45" t="s">
        <v>6876</v>
      </c>
      <c r="E1473" s="78" t="s">
        <v>6848</v>
      </c>
      <c r="F1473" s="79" t="s">
        <v>1453</v>
      </c>
      <c r="G1473" s="80" t="s">
        <v>6849</v>
      </c>
      <c r="H1473" s="80" t="s">
        <v>6849</v>
      </c>
      <c r="I1473" s="78" t="s">
        <v>6877</v>
      </c>
      <c r="J1473" s="79" t="s">
        <v>6878</v>
      </c>
      <c r="K1473" s="81" t="s">
        <v>6848</v>
      </c>
      <c r="L1473" s="82"/>
      <c r="M1473" s="83"/>
      <c r="N1473" s="80"/>
      <c r="O1473" s="82" t="s">
        <v>6848</v>
      </c>
      <c r="P1473" s="84" t="s">
        <v>6850</v>
      </c>
      <c r="Q1473" s="80">
        <v>0</v>
      </c>
      <c r="R1473" s="80"/>
      <c r="S1473" s="80"/>
      <c r="T1473" s="81" t="s">
        <v>1083</v>
      </c>
      <c r="U1473" s="80">
        <v>2499.6</v>
      </c>
      <c r="V1473" s="80"/>
      <c r="W1473" s="80"/>
      <c r="X1473" s="80">
        <v>2499.6</v>
      </c>
      <c r="Y1473" s="76" t="s">
        <v>149</v>
      </c>
      <c r="Z1473" s="19" t="s">
        <v>7038</v>
      </c>
      <c r="AA1473" s="28"/>
      <c r="AB1473" s="56"/>
      <c r="AC1473" s="28"/>
      <c r="AD1473" s="28"/>
      <c r="AE1473" s="54"/>
      <c r="AF1473" s="54"/>
      <c r="AG1473" s="54"/>
      <c r="AH1473" s="53"/>
      <c r="AI1473" s="53" t="s">
        <v>1591</v>
      </c>
      <c r="AJ1473" s="53" t="s">
        <v>1591</v>
      </c>
    </row>
    <row r="1474" spans="1:36" s="3" customFormat="1" ht="36" x14ac:dyDescent="0.25">
      <c r="A1474" s="17" t="s">
        <v>1958</v>
      </c>
      <c r="B1474" s="18" t="s">
        <v>37</v>
      </c>
      <c r="C1474" s="76" t="s">
        <v>6853</v>
      </c>
      <c r="D1474" s="45" t="s">
        <v>6885</v>
      </c>
      <c r="E1474" s="78" t="s">
        <v>6848</v>
      </c>
      <c r="F1474" s="79" t="s">
        <v>1453</v>
      </c>
      <c r="G1474" s="80" t="s">
        <v>6849</v>
      </c>
      <c r="H1474" s="80" t="s">
        <v>6849</v>
      </c>
      <c r="I1474" s="78" t="s">
        <v>6886</v>
      </c>
      <c r="J1474" s="79" t="s">
        <v>6887</v>
      </c>
      <c r="K1474" s="81" t="s">
        <v>6848</v>
      </c>
      <c r="L1474" s="82"/>
      <c r="M1474" s="83"/>
      <c r="N1474" s="80"/>
      <c r="O1474" s="82" t="s">
        <v>6848</v>
      </c>
      <c r="P1474" s="84" t="s">
        <v>6850</v>
      </c>
      <c r="Q1474" s="80">
        <v>0</v>
      </c>
      <c r="R1474" s="80"/>
      <c r="S1474" s="80"/>
      <c r="T1474" s="81" t="s">
        <v>45</v>
      </c>
      <c r="U1474" s="80">
        <v>2743.75</v>
      </c>
      <c r="V1474" s="80"/>
      <c r="W1474" s="80"/>
      <c r="X1474" s="80">
        <v>2743.75</v>
      </c>
      <c r="Y1474" s="76" t="s">
        <v>149</v>
      </c>
      <c r="Z1474" s="19" t="s">
        <v>7038</v>
      </c>
      <c r="AA1474" s="28"/>
      <c r="AB1474" s="56"/>
      <c r="AC1474" s="28"/>
      <c r="AD1474" s="28"/>
      <c r="AE1474" s="54"/>
      <c r="AF1474" s="54"/>
      <c r="AG1474" s="54"/>
      <c r="AH1474" s="53"/>
      <c r="AI1474" s="53" t="s">
        <v>1591</v>
      </c>
      <c r="AJ1474" s="53" t="s">
        <v>1591</v>
      </c>
    </row>
    <row r="1475" spans="1:36" s="3" customFormat="1" ht="36" x14ac:dyDescent="0.25">
      <c r="A1475" s="17" t="s">
        <v>1958</v>
      </c>
      <c r="B1475" s="18" t="s">
        <v>37</v>
      </c>
      <c r="C1475" s="76" t="s">
        <v>6853</v>
      </c>
      <c r="D1475" s="45" t="s">
        <v>6858</v>
      </c>
      <c r="E1475" s="78" t="s">
        <v>6848</v>
      </c>
      <c r="F1475" s="79" t="s">
        <v>1453</v>
      </c>
      <c r="G1475" s="80" t="s">
        <v>6849</v>
      </c>
      <c r="H1475" s="80" t="s">
        <v>6849</v>
      </c>
      <c r="I1475" s="78" t="s">
        <v>6854</v>
      </c>
      <c r="J1475" s="79" t="s">
        <v>6855</v>
      </c>
      <c r="K1475" s="81" t="s">
        <v>6848</v>
      </c>
      <c r="L1475" s="82"/>
      <c r="M1475" s="83"/>
      <c r="N1475" s="80"/>
      <c r="O1475" s="82" t="s">
        <v>6848</v>
      </c>
      <c r="P1475" s="84" t="s">
        <v>6850</v>
      </c>
      <c r="Q1475" s="80">
        <v>0</v>
      </c>
      <c r="R1475" s="80"/>
      <c r="S1475" s="80"/>
      <c r="T1475" s="81" t="s">
        <v>40</v>
      </c>
      <c r="U1475" s="80">
        <v>3349.2</v>
      </c>
      <c r="V1475" s="80"/>
      <c r="W1475" s="80"/>
      <c r="X1475" s="80">
        <v>3349.2</v>
      </c>
      <c r="Y1475" s="76" t="s">
        <v>149</v>
      </c>
      <c r="Z1475" s="19" t="s">
        <v>7038</v>
      </c>
      <c r="AA1475" s="28"/>
      <c r="AB1475" s="56"/>
      <c r="AC1475" s="28"/>
      <c r="AD1475" s="28"/>
      <c r="AE1475" s="54"/>
      <c r="AF1475" s="54"/>
      <c r="AG1475" s="54"/>
      <c r="AH1475" s="53"/>
      <c r="AI1475" s="53" t="s">
        <v>1591</v>
      </c>
      <c r="AJ1475" s="53" t="s">
        <v>1591</v>
      </c>
    </row>
    <row r="1476" spans="1:36" s="3" customFormat="1" ht="36" x14ac:dyDescent="0.25">
      <c r="A1476" s="17" t="s">
        <v>1958</v>
      </c>
      <c r="B1476" s="18" t="s">
        <v>37</v>
      </c>
      <c r="C1476" s="76" t="s">
        <v>6853</v>
      </c>
      <c r="D1476" s="45" t="s">
        <v>6865</v>
      </c>
      <c r="E1476" s="78" t="s">
        <v>6848</v>
      </c>
      <c r="F1476" s="79" t="s">
        <v>1453</v>
      </c>
      <c r="G1476" s="80" t="s">
        <v>6849</v>
      </c>
      <c r="H1476" s="80" t="s">
        <v>6849</v>
      </c>
      <c r="I1476" s="78" t="s">
        <v>6854</v>
      </c>
      <c r="J1476" s="79" t="s">
        <v>6855</v>
      </c>
      <c r="K1476" s="81" t="s">
        <v>6848</v>
      </c>
      <c r="L1476" s="82"/>
      <c r="M1476" s="83"/>
      <c r="N1476" s="80"/>
      <c r="O1476" s="82" t="s">
        <v>6848</v>
      </c>
      <c r="P1476" s="84" t="s">
        <v>6850</v>
      </c>
      <c r="Q1476" s="80">
        <v>0</v>
      </c>
      <c r="R1476" s="80"/>
      <c r="S1476" s="80"/>
      <c r="T1476" s="81" t="s">
        <v>40</v>
      </c>
      <c r="U1476" s="80">
        <v>5653.17</v>
      </c>
      <c r="V1476" s="80"/>
      <c r="W1476" s="80"/>
      <c r="X1476" s="80">
        <v>5653.17</v>
      </c>
      <c r="Y1476" s="76" t="s">
        <v>149</v>
      </c>
      <c r="Z1476" s="19" t="s">
        <v>7038</v>
      </c>
      <c r="AA1476" s="28"/>
      <c r="AB1476" s="56"/>
      <c r="AC1476" s="28"/>
      <c r="AD1476" s="28"/>
      <c r="AE1476" s="54"/>
      <c r="AF1476" s="54"/>
      <c r="AG1476" s="54"/>
      <c r="AH1476" s="53"/>
      <c r="AI1476" s="53" t="s">
        <v>1591</v>
      </c>
      <c r="AJ1476" s="53" t="s">
        <v>1591</v>
      </c>
    </row>
    <row r="1477" spans="1:36" s="3" customFormat="1" ht="36" x14ac:dyDescent="0.25">
      <c r="A1477" s="17" t="s">
        <v>1958</v>
      </c>
      <c r="B1477" s="18" t="s">
        <v>37</v>
      </c>
      <c r="C1477" s="76" t="s">
        <v>6853</v>
      </c>
      <c r="D1477" s="45" t="s">
        <v>6896</v>
      </c>
      <c r="E1477" s="78" t="s">
        <v>6848</v>
      </c>
      <c r="F1477" s="79" t="s">
        <v>1453</v>
      </c>
      <c r="G1477" s="80" t="s">
        <v>6849</v>
      </c>
      <c r="H1477" s="80" t="s">
        <v>6849</v>
      </c>
      <c r="I1477" s="78" t="s">
        <v>6897</v>
      </c>
      <c r="J1477" s="79" t="s">
        <v>6898</v>
      </c>
      <c r="K1477" s="81" t="s">
        <v>6848</v>
      </c>
      <c r="L1477" s="82"/>
      <c r="M1477" s="83"/>
      <c r="N1477" s="80"/>
      <c r="O1477" s="82" t="s">
        <v>6848</v>
      </c>
      <c r="P1477" s="84" t="s">
        <v>6850</v>
      </c>
      <c r="Q1477" s="80">
        <v>0</v>
      </c>
      <c r="R1477" s="80"/>
      <c r="S1477" s="80"/>
      <c r="T1477" s="81" t="s">
        <v>45</v>
      </c>
      <c r="U1477" s="80">
        <v>7800.12</v>
      </c>
      <c r="V1477" s="80"/>
      <c r="W1477" s="80"/>
      <c r="X1477" s="80">
        <v>7800.12</v>
      </c>
      <c r="Y1477" s="76" t="s">
        <v>149</v>
      </c>
      <c r="Z1477" s="19" t="s">
        <v>7038</v>
      </c>
      <c r="AA1477" s="28"/>
      <c r="AB1477" s="56"/>
      <c r="AC1477" s="28"/>
      <c r="AD1477" s="28"/>
      <c r="AE1477" s="54"/>
      <c r="AF1477" s="54"/>
      <c r="AG1477" s="54"/>
      <c r="AH1477" s="53"/>
      <c r="AI1477" s="53" t="s">
        <v>1591</v>
      </c>
      <c r="AJ1477" s="53" t="s">
        <v>1591</v>
      </c>
    </row>
    <row r="1478" spans="1:36" s="3" customFormat="1" ht="36" x14ac:dyDescent="0.25">
      <c r="A1478" s="17" t="s">
        <v>1958</v>
      </c>
      <c r="B1478" s="18" t="s">
        <v>37</v>
      </c>
      <c r="C1478" s="76" t="s">
        <v>6853</v>
      </c>
      <c r="D1478" s="45" t="s">
        <v>6882</v>
      </c>
      <c r="E1478" s="78" t="s">
        <v>6848</v>
      </c>
      <c r="F1478" s="79" t="s">
        <v>1453</v>
      </c>
      <c r="G1478" s="80" t="s">
        <v>6849</v>
      </c>
      <c r="H1478" s="80" t="s">
        <v>6849</v>
      </c>
      <c r="I1478" s="78" t="s">
        <v>6864</v>
      </c>
      <c r="J1478" s="79" t="s">
        <v>6855</v>
      </c>
      <c r="K1478" s="81" t="s">
        <v>6848</v>
      </c>
      <c r="L1478" s="82"/>
      <c r="M1478" s="83"/>
      <c r="N1478" s="80"/>
      <c r="O1478" s="82" t="s">
        <v>6848</v>
      </c>
      <c r="P1478" s="84" t="s">
        <v>6850</v>
      </c>
      <c r="Q1478" s="80">
        <v>0</v>
      </c>
      <c r="R1478" s="80"/>
      <c r="S1478" s="80"/>
      <c r="T1478" s="81" t="s">
        <v>1083</v>
      </c>
      <c r="U1478" s="80">
        <v>8221.2000000000007</v>
      </c>
      <c r="V1478" s="80"/>
      <c r="W1478" s="80"/>
      <c r="X1478" s="80">
        <v>8221.2000000000007</v>
      </c>
      <c r="Y1478" s="76" t="s">
        <v>498</v>
      </c>
      <c r="Z1478" s="19" t="s">
        <v>7038</v>
      </c>
      <c r="AA1478" s="28"/>
      <c r="AB1478" s="56"/>
      <c r="AC1478" s="28"/>
      <c r="AD1478" s="28"/>
      <c r="AE1478" s="54"/>
      <c r="AF1478" s="54"/>
      <c r="AG1478" s="54"/>
      <c r="AH1478" s="53"/>
      <c r="AI1478" s="53" t="s">
        <v>1591</v>
      </c>
      <c r="AJ1478" s="53" t="s">
        <v>1591</v>
      </c>
    </row>
    <row r="1479" spans="1:36" s="3" customFormat="1" ht="36" x14ac:dyDescent="0.25">
      <c r="A1479" s="17" t="s">
        <v>1958</v>
      </c>
      <c r="B1479" s="18" t="s">
        <v>37</v>
      </c>
      <c r="C1479" s="76" t="s">
        <v>6853</v>
      </c>
      <c r="D1479" s="45" t="s">
        <v>6894</v>
      </c>
      <c r="E1479" s="78" t="s">
        <v>6848</v>
      </c>
      <c r="F1479" s="79" t="s">
        <v>1453</v>
      </c>
      <c r="G1479" s="80" t="s">
        <v>6849</v>
      </c>
      <c r="H1479" s="80" t="s">
        <v>6849</v>
      </c>
      <c r="I1479" s="78" t="s">
        <v>6889</v>
      </c>
      <c r="J1479" s="79" t="s">
        <v>6890</v>
      </c>
      <c r="K1479" s="81" t="s">
        <v>6848</v>
      </c>
      <c r="L1479" s="82"/>
      <c r="M1479" s="83"/>
      <c r="N1479" s="80"/>
      <c r="O1479" s="82" t="s">
        <v>6848</v>
      </c>
      <c r="P1479" s="84" t="s">
        <v>6850</v>
      </c>
      <c r="Q1479" s="80">
        <v>0</v>
      </c>
      <c r="R1479" s="80"/>
      <c r="S1479" s="80"/>
      <c r="T1479" s="81" t="s">
        <v>45</v>
      </c>
      <c r="U1479" s="80">
        <v>8704.7999999999993</v>
      </c>
      <c r="V1479" s="80"/>
      <c r="W1479" s="80"/>
      <c r="X1479" s="80">
        <v>8704.7999999999993</v>
      </c>
      <c r="Y1479" s="76" t="s">
        <v>149</v>
      </c>
      <c r="Z1479" s="19" t="s">
        <v>7038</v>
      </c>
      <c r="AA1479" s="28"/>
      <c r="AB1479" s="56"/>
      <c r="AC1479" s="28"/>
      <c r="AD1479" s="28"/>
      <c r="AE1479" s="54"/>
      <c r="AF1479" s="54"/>
      <c r="AG1479" s="54"/>
      <c r="AH1479" s="53"/>
      <c r="AI1479" s="53" t="s">
        <v>1591</v>
      </c>
      <c r="AJ1479" s="53" t="s">
        <v>1591</v>
      </c>
    </row>
    <row r="1480" spans="1:36" s="3" customFormat="1" ht="36" x14ac:dyDescent="0.25">
      <c r="A1480" s="17" t="s">
        <v>1958</v>
      </c>
      <c r="B1480" s="18" t="s">
        <v>37</v>
      </c>
      <c r="C1480" s="76" t="s">
        <v>6853</v>
      </c>
      <c r="D1480" s="45" t="s">
        <v>6894</v>
      </c>
      <c r="E1480" s="78" t="s">
        <v>6848</v>
      </c>
      <c r="F1480" s="79" t="s">
        <v>1453</v>
      </c>
      <c r="G1480" s="80" t="s">
        <v>6849</v>
      </c>
      <c r="H1480" s="80" t="s">
        <v>6849</v>
      </c>
      <c r="I1480" s="78" t="s">
        <v>6889</v>
      </c>
      <c r="J1480" s="79" t="s">
        <v>6890</v>
      </c>
      <c r="K1480" s="81" t="s">
        <v>6848</v>
      </c>
      <c r="L1480" s="82"/>
      <c r="M1480" s="83"/>
      <c r="N1480" s="80"/>
      <c r="O1480" s="82" t="s">
        <v>6848</v>
      </c>
      <c r="P1480" s="84" t="s">
        <v>6850</v>
      </c>
      <c r="Q1480" s="80">
        <v>0</v>
      </c>
      <c r="R1480" s="80"/>
      <c r="S1480" s="80"/>
      <c r="T1480" s="81" t="s">
        <v>1083</v>
      </c>
      <c r="U1480" s="80">
        <v>4313.16</v>
      </c>
      <c r="V1480" s="80"/>
      <c r="W1480" s="80"/>
      <c r="X1480" s="80">
        <v>8704.7999999999993</v>
      </c>
      <c r="Y1480" s="76" t="s">
        <v>149</v>
      </c>
      <c r="Z1480" s="19" t="s">
        <v>7038</v>
      </c>
      <c r="AA1480" s="28"/>
      <c r="AB1480" s="56"/>
      <c r="AC1480" s="28"/>
      <c r="AD1480" s="28"/>
      <c r="AE1480" s="54"/>
      <c r="AF1480" s="54"/>
      <c r="AG1480" s="54"/>
      <c r="AH1480" s="53"/>
      <c r="AI1480" s="53" t="s">
        <v>1591</v>
      </c>
      <c r="AJ1480" s="53" t="s">
        <v>1591</v>
      </c>
    </row>
    <row r="1481" spans="1:36" s="3" customFormat="1" ht="36" x14ac:dyDescent="0.25">
      <c r="A1481" s="17" t="s">
        <v>1958</v>
      </c>
      <c r="B1481" s="18" t="s">
        <v>37</v>
      </c>
      <c r="C1481" s="76" t="s">
        <v>6853</v>
      </c>
      <c r="D1481" s="45" t="s">
        <v>6883</v>
      </c>
      <c r="E1481" s="78" t="s">
        <v>6848</v>
      </c>
      <c r="F1481" s="79" t="s">
        <v>6866</v>
      </c>
      <c r="G1481" s="80" t="s">
        <v>6849</v>
      </c>
      <c r="H1481" s="80" t="s">
        <v>6849</v>
      </c>
      <c r="I1481" s="78" t="s">
        <v>1960</v>
      </c>
      <c r="J1481" s="79" t="s">
        <v>6577</v>
      </c>
      <c r="K1481" s="81" t="s">
        <v>6848</v>
      </c>
      <c r="L1481" s="82"/>
      <c r="M1481" s="83"/>
      <c r="N1481" s="80"/>
      <c r="O1481" s="82" t="s">
        <v>6848</v>
      </c>
      <c r="P1481" s="84" t="s">
        <v>6850</v>
      </c>
      <c r="Q1481" s="80">
        <v>0</v>
      </c>
      <c r="R1481" s="80"/>
      <c r="S1481" s="80"/>
      <c r="T1481" s="81" t="s">
        <v>45</v>
      </c>
      <c r="U1481" s="80">
        <v>9000.06</v>
      </c>
      <c r="V1481" s="80"/>
      <c r="W1481" s="80"/>
      <c r="X1481" s="80">
        <v>9000.06</v>
      </c>
      <c r="Y1481" s="76" t="s">
        <v>149</v>
      </c>
      <c r="Z1481" s="19" t="s">
        <v>7038</v>
      </c>
      <c r="AA1481" s="28"/>
      <c r="AB1481" s="56"/>
      <c r="AC1481" s="28"/>
      <c r="AD1481" s="28"/>
      <c r="AE1481" s="54"/>
      <c r="AF1481" s="54"/>
      <c r="AG1481" s="54"/>
      <c r="AH1481" s="53"/>
      <c r="AI1481" s="53" t="s">
        <v>1591</v>
      </c>
      <c r="AJ1481" s="53" t="s">
        <v>1591</v>
      </c>
    </row>
    <row r="1482" spans="1:36" s="3" customFormat="1" ht="36" x14ac:dyDescent="0.25">
      <c r="A1482" s="17" t="s">
        <v>1958</v>
      </c>
      <c r="B1482" s="18" t="s">
        <v>37</v>
      </c>
      <c r="C1482" s="76" t="s">
        <v>6853</v>
      </c>
      <c r="D1482" s="45" t="s">
        <v>6892</v>
      </c>
      <c r="E1482" s="78" t="s">
        <v>6848</v>
      </c>
      <c r="F1482" s="79" t="s">
        <v>1453</v>
      </c>
      <c r="G1482" s="80" t="s">
        <v>6849</v>
      </c>
      <c r="H1482" s="80" t="s">
        <v>6849</v>
      </c>
      <c r="I1482" s="78" t="s">
        <v>6889</v>
      </c>
      <c r="J1482" s="79" t="s">
        <v>6890</v>
      </c>
      <c r="K1482" s="81" t="s">
        <v>6848</v>
      </c>
      <c r="L1482" s="82"/>
      <c r="M1482" s="83"/>
      <c r="N1482" s="80"/>
      <c r="O1482" s="82" t="s">
        <v>6848</v>
      </c>
      <c r="P1482" s="84" t="s">
        <v>6850</v>
      </c>
      <c r="Q1482" s="80">
        <v>0</v>
      </c>
      <c r="R1482" s="80"/>
      <c r="S1482" s="80"/>
      <c r="T1482" s="81" t="s">
        <v>1083</v>
      </c>
      <c r="U1482" s="80">
        <v>9616.32</v>
      </c>
      <c r="V1482" s="80"/>
      <c r="W1482" s="80"/>
      <c r="X1482" s="80">
        <v>9616.32</v>
      </c>
      <c r="Y1482" s="76" t="s">
        <v>149</v>
      </c>
      <c r="Z1482" s="19" t="s">
        <v>7038</v>
      </c>
      <c r="AA1482" s="28"/>
      <c r="AB1482" s="56"/>
      <c r="AC1482" s="28"/>
      <c r="AD1482" s="28"/>
      <c r="AE1482" s="54"/>
      <c r="AF1482" s="54"/>
      <c r="AG1482" s="54"/>
      <c r="AH1482" s="53"/>
      <c r="AI1482" s="53" t="s">
        <v>1591</v>
      </c>
      <c r="AJ1482" s="53" t="s">
        <v>1591</v>
      </c>
    </row>
    <row r="1483" spans="1:36" s="3" customFormat="1" ht="36" x14ac:dyDescent="0.25">
      <c r="A1483" s="17" t="s">
        <v>1958</v>
      </c>
      <c r="B1483" s="18" t="s">
        <v>37</v>
      </c>
      <c r="C1483" s="76" t="s">
        <v>6853</v>
      </c>
      <c r="D1483" s="45" t="s">
        <v>6895</v>
      </c>
      <c r="E1483" s="78" t="s">
        <v>6848</v>
      </c>
      <c r="F1483" s="79" t="s">
        <v>1453</v>
      </c>
      <c r="G1483" s="80" t="s">
        <v>6849</v>
      </c>
      <c r="H1483" s="80" t="s">
        <v>6849</v>
      </c>
      <c r="I1483" s="78" t="s">
        <v>6889</v>
      </c>
      <c r="J1483" s="79" t="s">
        <v>6890</v>
      </c>
      <c r="K1483" s="81" t="s">
        <v>6848</v>
      </c>
      <c r="L1483" s="82"/>
      <c r="M1483" s="83"/>
      <c r="N1483" s="80"/>
      <c r="O1483" s="82" t="s">
        <v>6848</v>
      </c>
      <c r="P1483" s="84" t="s">
        <v>6850</v>
      </c>
      <c r="Q1483" s="80">
        <v>0</v>
      </c>
      <c r="R1483" s="80"/>
      <c r="S1483" s="80"/>
      <c r="T1483" s="81" t="s">
        <v>1083</v>
      </c>
      <c r="U1483" s="80">
        <v>12150.46</v>
      </c>
      <c r="V1483" s="80"/>
      <c r="W1483" s="80"/>
      <c r="X1483" s="80">
        <v>12150.46</v>
      </c>
      <c r="Y1483" s="76" t="s">
        <v>149</v>
      </c>
      <c r="Z1483" s="19" t="s">
        <v>7038</v>
      </c>
      <c r="AA1483" s="28"/>
      <c r="AB1483" s="56"/>
      <c r="AC1483" s="28"/>
      <c r="AD1483" s="28"/>
      <c r="AE1483" s="54"/>
      <c r="AF1483" s="54"/>
      <c r="AG1483" s="54"/>
      <c r="AH1483" s="53"/>
      <c r="AI1483" s="53" t="s">
        <v>1591</v>
      </c>
      <c r="AJ1483" s="53" t="s">
        <v>1591</v>
      </c>
    </row>
    <row r="1484" spans="1:36" s="3" customFormat="1" ht="36" x14ac:dyDescent="0.25">
      <c r="A1484" s="17" t="s">
        <v>1958</v>
      </c>
      <c r="B1484" s="18" t="s">
        <v>37</v>
      </c>
      <c r="C1484" s="76" t="s">
        <v>6853</v>
      </c>
      <c r="D1484" s="45" t="s">
        <v>6891</v>
      </c>
      <c r="E1484" s="78" t="s">
        <v>6848</v>
      </c>
      <c r="F1484" s="79" t="s">
        <v>1453</v>
      </c>
      <c r="G1484" s="80" t="s">
        <v>6849</v>
      </c>
      <c r="H1484" s="80" t="s">
        <v>6849</v>
      </c>
      <c r="I1484" s="78" t="s">
        <v>6864</v>
      </c>
      <c r="J1484" s="79" t="s">
        <v>6855</v>
      </c>
      <c r="K1484" s="81" t="s">
        <v>6848</v>
      </c>
      <c r="L1484" s="82"/>
      <c r="M1484" s="83"/>
      <c r="N1484" s="80"/>
      <c r="O1484" s="82" t="s">
        <v>6848</v>
      </c>
      <c r="P1484" s="84" t="s">
        <v>6850</v>
      </c>
      <c r="Q1484" s="80">
        <v>0</v>
      </c>
      <c r="R1484" s="80"/>
      <c r="S1484" s="80"/>
      <c r="T1484" s="81" t="s">
        <v>1083</v>
      </c>
      <c r="U1484" s="80">
        <v>12775.97</v>
      </c>
      <c r="V1484" s="80"/>
      <c r="W1484" s="80"/>
      <c r="X1484" s="80">
        <v>12775.97</v>
      </c>
      <c r="Y1484" s="76" t="s">
        <v>149</v>
      </c>
      <c r="Z1484" s="19" t="s">
        <v>7038</v>
      </c>
      <c r="AA1484" s="28"/>
      <c r="AB1484" s="56"/>
      <c r="AC1484" s="28"/>
      <c r="AD1484" s="28"/>
      <c r="AE1484" s="54"/>
      <c r="AF1484" s="54"/>
      <c r="AG1484" s="54"/>
      <c r="AH1484" s="53"/>
      <c r="AI1484" s="53" t="s">
        <v>1591</v>
      </c>
      <c r="AJ1484" s="53" t="s">
        <v>1591</v>
      </c>
    </row>
    <row r="1485" spans="1:36" s="3" customFormat="1" ht="36" x14ac:dyDescent="0.25">
      <c r="A1485" s="17" t="s">
        <v>1958</v>
      </c>
      <c r="B1485" s="18" t="s">
        <v>37</v>
      </c>
      <c r="C1485" s="76" t="s">
        <v>6853</v>
      </c>
      <c r="D1485" s="45" t="s">
        <v>6860</v>
      </c>
      <c r="E1485" s="78" t="s">
        <v>6848</v>
      </c>
      <c r="F1485" s="79" t="s">
        <v>1453</v>
      </c>
      <c r="G1485" s="80" t="s">
        <v>6849</v>
      </c>
      <c r="H1485" s="80" t="s">
        <v>6849</v>
      </c>
      <c r="I1485" s="78" t="s">
        <v>6861</v>
      </c>
      <c r="J1485" s="79" t="s">
        <v>6862</v>
      </c>
      <c r="K1485" s="81" t="s">
        <v>6848</v>
      </c>
      <c r="L1485" s="82"/>
      <c r="M1485" s="83"/>
      <c r="N1485" s="80"/>
      <c r="O1485" s="82" t="s">
        <v>6848</v>
      </c>
      <c r="P1485" s="84" t="s">
        <v>6850</v>
      </c>
      <c r="Q1485" s="80">
        <v>0</v>
      </c>
      <c r="R1485" s="80"/>
      <c r="S1485" s="80"/>
      <c r="T1485" s="81" t="s">
        <v>45</v>
      </c>
      <c r="U1485" s="80">
        <v>13662</v>
      </c>
      <c r="V1485" s="80"/>
      <c r="W1485" s="80"/>
      <c r="X1485" s="80">
        <v>13662</v>
      </c>
      <c r="Y1485" s="76" t="s">
        <v>149</v>
      </c>
      <c r="Z1485" s="19" t="s">
        <v>7038</v>
      </c>
      <c r="AA1485" s="28"/>
      <c r="AB1485" s="56"/>
      <c r="AC1485" s="28"/>
      <c r="AD1485" s="28"/>
      <c r="AE1485" s="54"/>
      <c r="AF1485" s="54"/>
      <c r="AG1485" s="54"/>
      <c r="AH1485" s="53"/>
      <c r="AI1485" s="53" t="s">
        <v>1591</v>
      </c>
      <c r="AJ1485" s="53" t="s">
        <v>1591</v>
      </c>
    </row>
    <row r="1486" spans="1:36" s="3" customFormat="1" ht="36" x14ac:dyDescent="0.25">
      <c r="A1486" s="17" t="s">
        <v>1958</v>
      </c>
      <c r="B1486" s="18" t="s">
        <v>37</v>
      </c>
      <c r="C1486" s="76" t="s">
        <v>6853</v>
      </c>
      <c r="D1486" s="45" t="s">
        <v>6893</v>
      </c>
      <c r="E1486" s="78" t="s">
        <v>6848</v>
      </c>
      <c r="F1486" s="79" t="s">
        <v>1453</v>
      </c>
      <c r="G1486" s="80" t="s">
        <v>6849</v>
      </c>
      <c r="H1486" s="80" t="s">
        <v>6849</v>
      </c>
      <c r="I1486" s="78" t="s">
        <v>6864</v>
      </c>
      <c r="J1486" s="79" t="s">
        <v>6855</v>
      </c>
      <c r="K1486" s="81" t="s">
        <v>6848</v>
      </c>
      <c r="L1486" s="82"/>
      <c r="M1486" s="83"/>
      <c r="N1486" s="80"/>
      <c r="O1486" s="82" t="s">
        <v>6848</v>
      </c>
      <c r="P1486" s="84" t="s">
        <v>6850</v>
      </c>
      <c r="Q1486" s="80">
        <v>0</v>
      </c>
      <c r="R1486" s="80"/>
      <c r="S1486" s="80"/>
      <c r="T1486" s="81" t="s">
        <v>1083</v>
      </c>
      <c r="U1486" s="80">
        <v>13737.54</v>
      </c>
      <c r="V1486" s="80"/>
      <c r="W1486" s="80"/>
      <c r="X1486" s="80">
        <v>13737.54</v>
      </c>
      <c r="Y1486" s="76" t="s">
        <v>149</v>
      </c>
      <c r="Z1486" s="19" t="s">
        <v>7038</v>
      </c>
      <c r="AA1486" s="28"/>
      <c r="AB1486" s="56"/>
      <c r="AC1486" s="28"/>
      <c r="AD1486" s="28"/>
      <c r="AE1486" s="54"/>
      <c r="AF1486" s="54"/>
      <c r="AG1486" s="54"/>
      <c r="AH1486" s="53"/>
      <c r="AI1486" s="53" t="s">
        <v>1591</v>
      </c>
      <c r="AJ1486" s="53" t="s">
        <v>1591</v>
      </c>
    </row>
    <row r="1487" spans="1:36" s="3" customFormat="1" ht="36" x14ac:dyDescent="0.25">
      <c r="A1487" s="17" t="s">
        <v>1958</v>
      </c>
      <c r="B1487" s="18" t="s">
        <v>37</v>
      </c>
      <c r="C1487" s="76" t="s">
        <v>6853</v>
      </c>
      <c r="D1487" s="45" t="s">
        <v>6867</v>
      </c>
      <c r="E1487" s="78" t="s">
        <v>6848</v>
      </c>
      <c r="F1487" s="79" t="s">
        <v>1453</v>
      </c>
      <c r="G1487" s="80" t="s">
        <v>6849</v>
      </c>
      <c r="H1487" s="80" t="s">
        <v>6849</v>
      </c>
      <c r="I1487" s="78" t="s">
        <v>6868</v>
      </c>
      <c r="J1487" s="79" t="s">
        <v>6869</v>
      </c>
      <c r="K1487" s="81" t="s">
        <v>6848</v>
      </c>
      <c r="L1487" s="82"/>
      <c r="M1487" s="83"/>
      <c r="N1487" s="80"/>
      <c r="O1487" s="82" t="s">
        <v>6848</v>
      </c>
      <c r="P1487" s="84" t="s">
        <v>6850</v>
      </c>
      <c r="Q1487" s="80">
        <v>0</v>
      </c>
      <c r="R1487" s="80"/>
      <c r="S1487" s="80"/>
      <c r="T1487" s="81" t="s">
        <v>40</v>
      </c>
      <c r="U1487" s="80">
        <v>14123.76</v>
      </c>
      <c r="V1487" s="80"/>
      <c r="W1487" s="80"/>
      <c r="X1487" s="80">
        <v>14123.76</v>
      </c>
      <c r="Y1487" s="76" t="s">
        <v>149</v>
      </c>
      <c r="Z1487" s="19" t="s">
        <v>7038</v>
      </c>
      <c r="AA1487" s="28"/>
      <c r="AB1487" s="56"/>
      <c r="AC1487" s="28"/>
      <c r="AD1487" s="28"/>
      <c r="AE1487" s="54"/>
      <c r="AF1487" s="54"/>
      <c r="AG1487" s="54"/>
      <c r="AH1487" s="53"/>
      <c r="AI1487" s="53" t="s">
        <v>1591</v>
      </c>
      <c r="AJ1487" s="53" t="s">
        <v>1591</v>
      </c>
    </row>
    <row r="1488" spans="1:36" s="3" customFormat="1" ht="36" x14ac:dyDescent="0.25">
      <c r="A1488" s="17" t="s">
        <v>1958</v>
      </c>
      <c r="B1488" s="18" t="s">
        <v>37</v>
      </c>
      <c r="C1488" s="76" t="s">
        <v>6853</v>
      </c>
      <c r="D1488" s="45" t="s">
        <v>6888</v>
      </c>
      <c r="E1488" s="78" t="s">
        <v>6848</v>
      </c>
      <c r="F1488" s="79" t="s">
        <v>1453</v>
      </c>
      <c r="G1488" s="80" t="s">
        <v>6849</v>
      </c>
      <c r="H1488" s="80" t="s">
        <v>6849</v>
      </c>
      <c r="I1488" s="78" t="s">
        <v>6889</v>
      </c>
      <c r="J1488" s="79" t="s">
        <v>6890</v>
      </c>
      <c r="K1488" s="81" t="s">
        <v>6848</v>
      </c>
      <c r="L1488" s="82"/>
      <c r="M1488" s="83"/>
      <c r="N1488" s="80"/>
      <c r="O1488" s="82" t="s">
        <v>6848</v>
      </c>
      <c r="P1488" s="84" t="s">
        <v>6850</v>
      </c>
      <c r="Q1488" s="80">
        <v>0</v>
      </c>
      <c r="R1488" s="80"/>
      <c r="S1488" s="80"/>
      <c r="T1488" s="81" t="s">
        <v>1083</v>
      </c>
      <c r="U1488" s="80">
        <v>14145.6</v>
      </c>
      <c r="V1488" s="80"/>
      <c r="W1488" s="80"/>
      <c r="X1488" s="80">
        <v>14145.6</v>
      </c>
      <c r="Y1488" s="76" t="s">
        <v>149</v>
      </c>
      <c r="Z1488" s="19" t="s">
        <v>7038</v>
      </c>
      <c r="AA1488" s="28"/>
      <c r="AB1488" s="56"/>
      <c r="AC1488" s="28"/>
      <c r="AD1488" s="28"/>
      <c r="AE1488" s="54"/>
      <c r="AF1488" s="54"/>
      <c r="AG1488" s="54"/>
      <c r="AH1488" s="53"/>
      <c r="AI1488" s="53" t="s">
        <v>1591</v>
      </c>
      <c r="AJ1488" s="53" t="s">
        <v>1591</v>
      </c>
    </row>
    <row r="1489" spans="1:36" s="3" customFormat="1" ht="36" x14ac:dyDescent="0.25">
      <c r="A1489" s="17" t="s">
        <v>1958</v>
      </c>
      <c r="B1489" s="18" t="s">
        <v>37</v>
      </c>
      <c r="C1489" s="76" t="s">
        <v>6853</v>
      </c>
      <c r="D1489" s="45" t="s">
        <v>6859</v>
      </c>
      <c r="E1489" s="78" t="s">
        <v>6848</v>
      </c>
      <c r="F1489" s="79" t="s">
        <v>1453</v>
      </c>
      <c r="G1489" s="80" t="s">
        <v>6849</v>
      </c>
      <c r="H1489" s="80" t="s">
        <v>6849</v>
      </c>
      <c r="I1489" s="78" t="s">
        <v>6854</v>
      </c>
      <c r="J1489" s="79" t="s">
        <v>6855</v>
      </c>
      <c r="K1489" s="81" t="s">
        <v>6848</v>
      </c>
      <c r="L1489" s="82"/>
      <c r="M1489" s="83"/>
      <c r="N1489" s="80"/>
      <c r="O1489" s="82" t="s">
        <v>6848</v>
      </c>
      <c r="P1489" s="84" t="s">
        <v>6850</v>
      </c>
      <c r="Q1489" s="80">
        <v>0</v>
      </c>
      <c r="R1489" s="80"/>
      <c r="S1489" s="80"/>
      <c r="T1489" s="81" t="s">
        <v>40</v>
      </c>
      <c r="U1489" s="80">
        <v>14880</v>
      </c>
      <c r="V1489" s="80"/>
      <c r="W1489" s="80"/>
      <c r="X1489" s="80">
        <v>14880</v>
      </c>
      <c r="Y1489" s="76" t="s">
        <v>149</v>
      </c>
      <c r="Z1489" s="19" t="s">
        <v>7038</v>
      </c>
      <c r="AA1489" s="28"/>
      <c r="AB1489" s="56"/>
      <c r="AC1489" s="28"/>
      <c r="AD1489" s="28"/>
      <c r="AE1489" s="54"/>
      <c r="AF1489" s="54"/>
      <c r="AG1489" s="54"/>
      <c r="AH1489" s="53"/>
      <c r="AI1489" s="53" t="s">
        <v>1591</v>
      </c>
      <c r="AJ1489" s="53" t="s">
        <v>1591</v>
      </c>
    </row>
    <row r="1490" spans="1:36" s="3" customFormat="1" ht="36" x14ac:dyDescent="0.25">
      <c r="A1490" s="17" t="s">
        <v>1958</v>
      </c>
      <c r="B1490" s="18" t="s">
        <v>37</v>
      </c>
      <c r="C1490" s="76" t="s">
        <v>6853</v>
      </c>
      <c r="D1490" s="45" t="s">
        <v>6863</v>
      </c>
      <c r="E1490" s="78" t="s">
        <v>6848</v>
      </c>
      <c r="F1490" s="79" t="s">
        <v>1453</v>
      </c>
      <c r="G1490" s="80" t="s">
        <v>6849</v>
      </c>
      <c r="H1490" s="80" t="s">
        <v>6849</v>
      </c>
      <c r="I1490" s="78" t="s">
        <v>6864</v>
      </c>
      <c r="J1490" s="79" t="s">
        <v>6855</v>
      </c>
      <c r="K1490" s="81" t="s">
        <v>6848</v>
      </c>
      <c r="L1490" s="82"/>
      <c r="M1490" s="83"/>
      <c r="N1490" s="80"/>
      <c r="O1490" s="82" t="s">
        <v>6848</v>
      </c>
      <c r="P1490" s="84" t="s">
        <v>6850</v>
      </c>
      <c r="Q1490" s="80">
        <v>0</v>
      </c>
      <c r="R1490" s="80"/>
      <c r="S1490" s="80"/>
      <c r="T1490" s="81" t="s">
        <v>1083</v>
      </c>
      <c r="U1490" s="80">
        <v>8188.37</v>
      </c>
      <c r="V1490" s="80"/>
      <c r="W1490" s="80"/>
      <c r="X1490" s="80">
        <v>18653.82</v>
      </c>
      <c r="Y1490" s="76" t="s">
        <v>149</v>
      </c>
      <c r="Z1490" s="19" t="s">
        <v>7038</v>
      </c>
      <c r="AA1490" s="28"/>
      <c r="AB1490" s="56"/>
      <c r="AC1490" s="28"/>
      <c r="AD1490" s="28"/>
      <c r="AE1490" s="54"/>
      <c r="AF1490" s="54"/>
      <c r="AG1490" s="54"/>
      <c r="AH1490" s="53"/>
      <c r="AI1490" s="53" t="s">
        <v>1591</v>
      </c>
      <c r="AJ1490" s="53" t="s">
        <v>1591</v>
      </c>
    </row>
    <row r="1491" spans="1:36" s="3" customFormat="1" ht="36" x14ac:dyDescent="0.25">
      <c r="A1491" s="17" t="s">
        <v>1958</v>
      </c>
      <c r="B1491" s="18" t="s">
        <v>37</v>
      </c>
      <c r="C1491" s="76" t="s">
        <v>6853</v>
      </c>
      <c r="D1491" s="45" t="s">
        <v>6872</v>
      </c>
      <c r="E1491" s="78" t="s">
        <v>6848</v>
      </c>
      <c r="F1491" s="79" t="s">
        <v>6866</v>
      </c>
      <c r="G1491" s="80" t="s">
        <v>6849</v>
      </c>
      <c r="H1491" s="80" t="s">
        <v>6849</v>
      </c>
      <c r="I1491" s="78" t="s">
        <v>1960</v>
      </c>
      <c r="J1491" s="79" t="s">
        <v>6577</v>
      </c>
      <c r="K1491" s="81" t="s">
        <v>6848</v>
      </c>
      <c r="L1491" s="82"/>
      <c r="M1491" s="83"/>
      <c r="N1491" s="80"/>
      <c r="O1491" s="82" t="s">
        <v>6848</v>
      </c>
      <c r="P1491" s="84" t="s">
        <v>6850</v>
      </c>
      <c r="Q1491" s="80">
        <v>0</v>
      </c>
      <c r="R1491" s="80"/>
      <c r="S1491" s="80"/>
      <c r="T1491" s="81" t="s">
        <v>45</v>
      </c>
      <c r="U1491" s="80">
        <v>34553.75</v>
      </c>
      <c r="V1491" s="80"/>
      <c r="W1491" s="80"/>
      <c r="X1491" s="80">
        <v>34553.75</v>
      </c>
      <c r="Y1491" s="76" t="s">
        <v>149</v>
      </c>
      <c r="Z1491" s="19" t="s">
        <v>7038</v>
      </c>
      <c r="AA1491" s="28"/>
      <c r="AB1491" s="56"/>
      <c r="AC1491" s="28"/>
      <c r="AD1491" s="28"/>
      <c r="AE1491" s="54"/>
      <c r="AF1491" s="54"/>
      <c r="AG1491" s="54"/>
      <c r="AH1491" s="53"/>
      <c r="AI1491" s="53" t="s">
        <v>1591</v>
      </c>
      <c r="AJ1491" s="53" t="s">
        <v>1591</v>
      </c>
    </row>
    <row r="1492" spans="1:36" s="3" customFormat="1" ht="36" x14ac:dyDescent="0.25">
      <c r="A1492" s="17" t="s">
        <v>1958</v>
      </c>
      <c r="B1492" s="18" t="s">
        <v>37</v>
      </c>
      <c r="C1492" s="76" t="s">
        <v>6853</v>
      </c>
      <c r="D1492" s="45" t="s">
        <v>6874</v>
      </c>
      <c r="E1492" s="78" t="s">
        <v>6848</v>
      </c>
      <c r="F1492" s="79" t="s">
        <v>6866</v>
      </c>
      <c r="G1492" s="80" t="s">
        <v>6849</v>
      </c>
      <c r="H1492" s="80" t="s">
        <v>6849</v>
      </c>
      <c r="I1492" s="78" t="s">
        <v>1960</v>
      </c>
      <c r="J1492" s="79" t="s">
        <v>6577</v>
      </c>
      <c r="K1492" s="81" t="s">
        <v>6848</v>
      </c>
      <c r="L1492" s="82"/>
      <c r="M1492" s="83"/>
      <c r="N1492" s="80"/>
      <c r="O1492" s="82" t="s">
        <v>6848</v>
      </c>
      <c r="P1492" s="84" t="s">
        <v>6850</v>
      </c>
      <c r="Q1492" s="80">
        <v>0</v>
      </c>
      <c r="R1492" s="80"/>
      <c r="S1492" s="80"/>
      <c r="T1492" s="81" t="s">
        <v>45</v>
      </c>
      <c r="U1492" s="80">
        <v>39263.11</v>
      </c>
      <c r="V1492" s="80"/>
      <c r="W1492" s="80"/>
      <c r="X1492" s="80">
        <v>39263.11</v>
      </c>
      <c r="Y1492" s="76" t="s">
        <v>149</v>
      </c>
      <c r="Z1492" s="19" t="s">
        <v>7038</v>
      </c>
      <c r="AA1492" s="28"/>
      <c r="AB1492" s="56"/>
      <c r="AC1492" s="28"/>
      <c r="AD1492" s="28"/>
      <c r="AE1492" s="54"/>
      <c r="AF1492" s="54"/>
      <c r="AG1492" s="54"/>
      <c r="AH1492" s="53"/>
      <c r="AI1492" s="53" t="s">
        <v>1591</v>
      </c>
      <c r="AJ1492" s="53" t="s">
        <v>1591</v>
      </c>
    </row>
    <row r="1493" spans="1:36" s="3" customFormat="1" ht="36" x14ac:dyDescent="0.25">
      <c r="A1493" s="17" t="s">
        <v>1958</v>
      </c>
      <c r="B1493" s="18" t="s">
        <v>37</v>
      </c>
      <c r="C1493" s="76" t="s">
        <v>6853</v>
      </c>
      <c r="D1493" s="45" t="s">
        <v>6873</v>
      </c>
      <c r="E1493" s="78" t="s">
        <v>6848</v>
      </c>
      <c r="F1493" s="79" t="s">
        <v>6866</v>
      </c>
      <c r="G1493" s="80" t="s">
        <v>6849</v>
      </c>
      <c r="H1493" s="80" t="s">
        <v>6849</v>
      </c>
      <c r="I1493" s="78" t="s">
        <v>1960</v>
      </c>
      <c r="J1493" s="79" t="s">
        <v>6577</v>
      </c>
      <c r="K1493" s="81" t="s">
        <v>6848</v>
      </c>
      <c r="L1493" s="82"/>
      <c r="M1493" s="83"/>
      <c r="N1493" s="80"/>
      <c r="O1493" s="82" t="s">
        <v>6848</v>
      </c>
      <c r="P1493" s="84" t="s">
        <v>6850</v>
      </c>
      <c r="Q1493" s="80">
        <v>0</v>
      </c>
      <c r="R1493" s="80"/>
      <c r="S1493" s="80"/>
      <c r="T1493" s="81" t="s">
        <v>45</v>
      </c>
      <c r="U1493" s="80">
        <v>41213.199999999997</v>
      </c>
      <c r="V1493" s="80"/>
      <c r="W1493" s="80"/>
      <c r="X1493" s="80">
        <v>41213.199999999997</v>
      </c>
      <c r="Y1493" s="76" t="s">
        <v>149</v>
      </c>
      <c r="Z1493" s="19" t="s">
        <v>7038</v>
      </c>
      <c r="AA1493" s="28"/>
      <c r="AB1493" s="56"/>
      <c r="AC1493" s="28"/>
      <c r="AD1493" s="28"/>
      <c r="AE1493" s="54"/>
      <c r="AF1493" s="54"/>
      <c r="AG1493" s="54"/>
      <c r="AH1493" s="53"/>
      <c r="AI1493" s="53" t="s">
        <v>1591</v>
      </c>
      <c r="AJ1493" s="53" t="s">
        <v>1591</v>
      </c>
    </row>
    <row r="1494" spans="1:36" s="3" customFormat="1" ht="36" x14ac:dyDescent="0.25">
      <c r="A1494" s="17" t="s">
        <v>1958</v>
      </c>
      <c r="B1494" s="18" t="s">
        <v>37</v>
      </c>
      <c r="C1494" s="76" t="s">
        <v>6853</v>
      </c>
      <c r="D1494" s="45" t="s">
        <v>6879</v>
      </c>
      <c r="E1494" s="78" t="s">
        <v>6848</v>
      </c>
      <c r="F1494" s="79" t="s">
        <v>1453</v>
      </c>
      <c r="G1494" s="80" t="s">
        <v>6849</v>
      </c>
      <c r="H1494" s="80" t="s">
        <v>6849</v>
      </c>
      <c r="I1494" s="78" t="s">
        <v>1960</v>
      </c>
      <c r="J1494" s="79" t="s">
        <v>6577</v>
      </c>
      <c r="K1494" s="81" t="s">
        <v>6848</v>
      </c>
      <c r="L1494" s="82"/>
      <c r="M1494" s="83"/>
      <c r="N1494" s="80"/>
      <c r="O1494" s="82" t="s">
        <v>6848</v>
      </c>
      <c r="P1494" s="84" t="s">
        <v>6850</v>
      </c>
      <c r="Q1494" s="80">
        <v>0</v>
      </c>
      <c r="R1494" s="80"/>
      <c r="S1494" s="80"/>
      <c r="T1494" s="81" t="s">
        <v>45</v>
      </c>
      <c r="U1494" s="80">
        <v>59708.88</v>
      </c>
      <c r="V1494" s="80"/>
      <c r="W1494" s="80"/>
      <c r="X1494" s="80">
        <v>59708.88</v>
      </c>
      <c r="Y1494" s="76" t="s">
        <v>498</v>
      </c>
      <c r="Z1494" s="19" t="s">
        <v>7038</v>
      </c>
      <c r="AA1494" s="28"/>
      <c r="AB1494" s="56"/>
      <c r="AC1494" s="28"/>
      <c r="AD1494" s="28"/>
      <c r="AE1494" s="54"/>
      <c r="AF1494" s="54"/>
      <c r="AG1494" s="54"/>
      <c r="AH1494" s="53"/>
      <c r="AI1494" s="53" t="s">
        <v>1591</v>
      </c>
      <c r="AJ1494" s="53" t="s">
        <v>1591</v>
      </c>
    </row>
    <row r="1495" spans="1:36" s="3" customFormat="1" ht="36" x14ac:dyDescent="0.25">
      <c r="A1495" s="17" t="s">
        <v>1958</v>
      </c>
      <c r="B1495" s="18" t="s">
        <v>37</v>
      </c>
      <c r="C1495" s="76" t="s">
        <v>6853</v>
      </c>
      <c r="D1495" s="45" t="s">
        <v>6899</v>
      </c>
      <c r="E1495" s="78" t="s">
        <v>6848</v>
      </c>
      <c r="F1495" s="79" t="s">
        <v>1453</v>
      </c>
      <c r="G1495" s="80" t="s">
        <v>6849</v>
      </c>
      <c r="H1495" s="80" t="s">
        <v>6849</v>
      </c>
      <c r="I1495" s="78" t="s">
        <v>6854</v>
      </c>
      <c r="J1495" s="79" t="s">
        <v>6855</v>
      </c>
      <c r="K1495" s="81" t="s">
        <v>6848</v>
      </c>
      <c r="L1495" s="82"/>
      <c r="M1495" s="83"/>
      <c r="N1495" s="80"/>
      <c r="O1495" s="82" t="s">
        <v>6848</v>
      </c>
      <c r="P1495" s="84" t="s">
        <v>6850</v>
      </c>
      <c r="Q1495" s="80">
        <v>0</v>
      </c>
      <c r="R1495" s="80"/>
      <c r="S1495" s="80"/>
      <c r="T1495" s="81" t="s">
        <v>45</v>
      </c>
      <c r="U1495" s="80">
        <v>5681.12</v>
      </c>
      <c r="V1495" s="80"/>
      <c r="W1495" s="80"/>
      <c r="X1495" s="80">
        <v>5681.12</v>
      </c>
      <c r="Y1495" s="76" t="s">
        <v>149</v>
      </c>
      <c r="Z1495" s="19" t="s">
        <v>7038</v>
      </c>
      <c r="AA1495" s="28"/>
      <c r="AB1495" s="56"/>
      <c r="AC1495" s="28"/>
      <c r="AD1495" s="28"/>
      <c r="AE1495" s="54"/>
      <c r="AF1495" s="54"/>
      <c r="AG1495" s="54"/>
      <c r="AH1495" s="53"/>
      <c r="AI1495" s="53" t="s">
        <v>1591</v>
      </c>
      <c r="AJ1495" s="53" t="s">
        <v>1591</v>
      </c>
    </row>
    <row r="1496" spans="1:36" s="3" customFormat="1" ht="36" x14ac:dyDescent="0.25">
      <c r="A1496" s="17" t="s">
        <v>1961</v>
      </c>
      <c r="B1496" s="18" t="s">
        <v>37</v>
      </c>
      <c r="C1496" s="19" t="s">
        <v>6991</v>
      </c>
      <c r="D1496" s="45" t="s">
        <v>6992</v>
      </c>
      <c r="E1496" s="50" t="s">
        <v>6993</v>
      </c>
      <c r="F1496" s="58"/>
      <c r="G1496" s="51">
        <v>1205981.06</v>
      </c>
      <c r="H1496" s="51">
        <v>12181.63</v>
      </c>
      <c r="I1496" s="50" t="s">
        <v>4901</v>
      </c>
      <c r="J1496" s="58" t="s">
        <v>6994</v>
      </c>
      <c r="K1496" s="52" t="s">
        <v>6995</v>
      </c>
      <c r="L1496" s="59">
        <v>40350</v>
      </c>
      <c r="M1496" s="60"/>
      <c r="N1496" s="51">
        <v>1205981.06</v>
      </c>
      <c r="O1496" s="59"/>
      <c r="P1496" s="92"/>
      <c r="Q1496" s="51"/>
      <c r="R1496" s="51">
        <v>1205981.06</v>
      </c>
      <c r="S1496" s="51"/>
      <c r="T1496" s="52" t="s">
        <v>4930</v>
      </c>
      <c r="U1496" s="51"/>
      <c r="V1496" s="51"/>
      <c r="W1496" s="51"/>
      <c r="X1496" s="51"/>
      <c r="Y1496" s="19" t="s">
        <v>157</v>
      </c>
      <c r="Z1496" s="19" t="s">
        <v>7038</v>
      </c>
      <c r="AA1496" s="28" t="s">
        <v>8172</v>
      </c>
      <c r="AB1496" s="56">
        <v>43479</v>
      </c>
      <c r="AC1496" s="102" t="s">
        <v>8537</v>
      </c>
      <c r="AD1496" s="28" t="s">
        <v>8532</v>
      </c>
      <c r="AE1496" s="54"/>
      <c r="AF1496" s="54"/>
      <c r="AG1496" s="54" t="s">
        <v>8533</v>
      </c>
      <c r="AH1496" s="53" t="s">
        <v>1591</v>
      </c>
      <c r="AI1496" s="53" t="s">
        <v>2686</v>
      </c>
      <c r="AJ1496" s="53" t="s">
        <v>1591</v>
      </c>
    </row>
    <row r="1497" spans="1:36" s="3" customFormat="1" ht="60" x14ac:dyDescent="0.25">
      <c r="A1497" s="17" t="s">
        <v>1961</v>
      </c>
      <c r="B1497" s="18" t="s">
        <v>37</v>
      </c>
      <c r="C1497" s="19" t="s">
        <v>1141</v>
      </c>
      <c r="D1497" s="45" t="s">
        <v>6990</v>
      </c>
      <c r="E1497" s="50" t="s">
        <v>436</v>
      </c>
      <c r="F1497" s="58"/>
      <c r="G1497" s="51">
        <v>468881.93</v>
      </c>
      <c r="H1497" s="51"/>
      <c r="I1497" s="50" t="s">
        <v>1338</v>
      </c>
      <c r="J1497" s="58" t="s">
        <v>1339</v>
      </c>
      <c r="K1497" s="52" t="s">
        <v>436</v>
      </c>
      <c r="L1497" s="59">
        <v>41926</v>
      </c>
      <c r="M1497" s="60">
        <v>42106</v>
      </c>
      <c r="N1497" s="51">
        <v>468881.93</v>
      </c>
      <c r="O1497" s="59">
        <v>42108</v>
      </c>
      <c r="P1497" s="92"/>
      <c r="Q1497" s="51"/>
      <c r="R1497" s="51">
        <v>468881.93</v>
      </c>
      <c r="S1497" s="51"/>
      <c r="T1497" s="52" t="s">
        <v>4930</v>
      </c>
      <c r="U1497" s="51"/>
      <c r="V1497" s="51"/>
      <c r="W1497" s="51"/>
      <c r="X1497" s="51"/>
      <c r="Y1497" s="19" t="s">
        <v>157</v>
      </c>
      <c r="Z1497" s="19" t="s">
        <v>7038</v>
      </c>
      <c r="AA1497" s="28" t="s">
        <v>8172</v>
      </c>
      <c r="AB1497" s="56">
        <v>43479</v>
      </c>
      <c r="AC1497" s="102" t="s">
        <v>8537</v>
      </c>
      <c r="AD1497" s="28" t="s">
        <v>8532</v>
      </c>
      <c r="AE1497" s="54" t="s">
        <v>8539</v>
      </c>
      <c r="AF1497" s="54"/>
      <c r="AG1497" s="54" t="s">
        <v>8534</v>
      </c>
      <c r="AH1497" s="53" t="s">
        <v>1591</v>
      </c>
      <c r="AI1497" s="53" t="s">
        <v>2686</v>
      </c>
      <c r="AJ1497" s="53" t="s">
        <v>1591</v>
      </c>
    </row>
    <row r="1498" spans="1:36" s="3" customFormat="1" ht="36" x14ac:dyDescent="0.25">
      <c r="A1498" s="17" t="s">
        <v>1961</v>
      </c>
      <c r="B1498" s="18" t="s">
        <v>37</v>
      </c>
      <c r="C1498" s="19" t="s">
        <v>4396</v>
      </c>
      <c r="D1498" s="45" t="s">
        <v>6988</v>
      </c>
      <c r="E1498" s="50" t="s">
        <v>999</v>
      </c>
      <c r="F1498" s="58"/>
      <c r="G1498" s="51">
        <v>326400</v>
      </c>
      <c r="H1498" s="51"/>
      <c r="I1498" s="50" t="s">
        <v>900</v>
      </c>
      <c r="J1498" s="58" t="s">
        <v>6989</v>
      </c>
      <c r="K1498" s="52" t="s">
        <v>960</v>
      </c>
      <c r="L1498" s="59">
        <v>42326</v>
      </c>
      <c r="M1498" s="60">
        <v>42506</v>
      </c>
      <c r="N1498" s="51">
        <v>408754.47</v>
      </c>
      <c r="O1498" s="59">
        <v>42508</v>
      </c>
      <c r="P1498" s="92"/>
      <c r="Q1498" s="51"/>
      <c r="R1498" s="51">
        <v>408754.47</v>
      </c>
      <c r="S1498" s="51"/>
      <c r="T1498" s="52" t="s">
        <v>4930</v>
      </c>
      <c r="U1498" s="51"/>
      <c r="V1498" s="51"/>
      <c r="W1498" s="51"/>
      <c r="X1498" s="51">
        <v>81600</v>
      </c>
      <c r="Y1498" s="19" t="s">
        <v>157</v>
      </c>
      <c r="Z1498" s="19" t="s">
        <v>7038</v>
      </c>
      <c r="AA1498" s="28" t="s">
        <v>8172</v>
      </c>
      <c r="AB1498" s="56">
        <v>43479</v>
      </c>
      <c r="AC1498" s="102" t="s">
        <v>8537</v>
      </c>
      <c r="AD1498" s="28" t="s">
        <v>8532</v>
      </c>
      <c r="AE1498" s="54" t="s">
        <v>8538</v>
      </c>
      <c r="AF1498" s="54"/>
      <c r="AG1498" s="54" t="s">
        <v>8535</v>
      </c>
      <c r="AH1498" s="53" t="s">
        <v>1591</v>
      </c>
      <c r="AI1498" s="53" t="s">
        <v>2686</v>
      </c>
      <c r="AJ1498" s="53" t="s">
        <v>1591</v>
      </c>
    </row>
    <row r="1499" spans="1:36" s="3" customFormat="1" ht="48" x14ac:dyDescent="0.25">
      <c r="A1499" s="17" t="s">
        <v>1961</v>
      </c>
      <c r="B1499" s="18" t="s">
        <v>37</v>
      </c>
      <c r="C1499" s="19" t="s">
        <v>1391</v>
      </c>
      <c r="D1499" s="45" t="s">
        <v>6986</v>
      </c>
      <c r="E1499" s="50" t="s">
        <v>5944</v>
      </c>
      <c r="F1499" s="58"/>
      <c r="G1499" s="51">
        <v>150000</v>
      </c>
      <c r="H1499" s="51"/>
      <c r="I1499" s="50" t="s">
        <v>79</v>
      </c>
      <c r="J1499" s="58" t="s">
        <v>6987</v>
      </c>
      <c r="K1499" s="52" t="s">
        <v>5944</v>
      </c>
      <c r="L1499" s="59">
        <v>40839</v>
      </c>
      <c r="M1499" s="60">
        <v>40989</v>
      </c>
      <c r="N1499" s="51">
        <v>198661.01</v>
      </c>
      <c r="O1499" s="59">
        <v>40991</v>
      </c>
      <c r="P1499" s="92"/>
      <c r="Q1499" s="51"/>
      <c r="R1499" s="51">
        <v>198661.01</v>
      </c>
      <c r="S1499" s="51"/>
      <c r="T1499" s="52" t="s">
        <v>4930</v>
      </c>
      <c r="U1499" s="51"/>
      <c r="V1499" s="51"/>
      <c r="W1499" s="51"/>
      <c r="X1499" s="51">
        <v>50000</v>
      </c>
      <c r="Y1499" s="19" t="s">
        <v>157</v>
      </c>
      <c r="Z1499" s="19" t="s">
        <v>7038</v>
      </c>
      <c r="AA1499" s="28" t="s">
        <v>8172</v>
      </c>
      <c r="AB1499" s="56">
        <v>43479</v>
      </c>
      <c r="AC1499" s="102" t="s">
        <v>8537</v>
      </c>
      <c r="AD1499" s="28" t="s">
        <v>8532</v>
      </c>
      <c r="AE1499" s="54"/>
      <c r="AF1499" s="54"/>
      <c r="AG1499" s="54" t="s">
        <v>8536</v>
      </c>
      <c r="AH1499" s="53" t="s">
        <v>1591</v>
      </c>
      <c r="AI1499" s="53" t="s">
        <v>2686</v>
      </c>
      <c r="AJ1499" s="53" t="s">
        <v>1591</v>
      </c>
    </row>
    <row r="1500" spans="1:36" s="3" customFormat="1" ht="72" x14ac:dyDescent="0.25">
      <c r="A1500" s="17" t="s">
        <v>1962</v>
      </c>
      <c r="B1500" s="18" t="s">
        <v>37</v>
      </c>
      <c r="C1500" s="76" t="s">
        <v>5103</v>
      </c>
      <c r="D1500" s="45" t="s">
        <v>6900</v>
      </c>
      <c r="E1500" s="78" t="s">
        <v>46</v>
      </c>
      <c r="F1500" s="79" t="s">
        <v>46</v>
      </c>
      <c r="G1500" s="80" t="s">
        <v>46</v>
      </c>
      <c r="H1500" s="80" t="s">
        <v>46</v>
      </c>
      <c r="I1500" s="78" t="s">
        <v>1963</v>
      </c>
      <c r="J1500" s="79" t="s">
        <v>6901</v>
      </c>
      <c r="K1500" s="81" t="s">
        <v>1105</v>
      </c>
      <c r="L1500" s="82">
        <v>42229</v>
      </c>
      <c r="M1500" s="83">
        <v>42379</v>
      </c>
      <c r="N1500" s="80">
        <v>137666.1</v>
      </c>
      <c r="O1500" s="82">
        <v>42532</v>
      </c>
      <c r="P1500" s="84" t="s">
        <v>5048</v>
      </c>
      <c r="Q1500" s="80">
        <v>0</v>
      </c>
      <c r="R1500" s="80">
        <v>137666.1</v>
      </c>
      <c r="S1500" s="80" t="s">
        <v>46</v>
      </c>
      <c r="T1500" s="81" t="s">
        <v>32</v>
      </c>
      <c r="U1500" s="80">
        <v>36833.83</v>
      </c>
      <c r="V1500" s="80"/>
      <c r="W1500" s="80"/>
      <c r="X1500" s="80">
        <v>46676.63</v>
      </c>
      <c r="Y1500" s="76" t="s">
        <v>1042</v>
      </c>
      <c r="Z1500" s="19" t="s">
        <v>7038</v>
      </c>
      <c r="AA1500" s="28" t="s">
        <v>8453</v>
      </c>
      <c r="AB1500" s="56">
        <v>43413</v>
      </c>
      <c r="AC1500" s="28" t="s">
        <v>8088</v>
      </c>
      <c r="AD1500" s="28" t="s">
        <v>8173</v>
      </c>
      <c r="AE1500" s="54" t="s">
        <v>8174</v>
      </c>
      <c r="AF1500" s="54"/>
      <c r="AG1500" s="54" t="s">
        <v>8175</v>
      </c>
      <c r="AH1500" s="53" t="s">
        <v>1591</v>
      </c>
      <c r="AI1500" s="53" t="s">
        <v>2686</v>
      </c>
      <c r="AJ1500" s="53" t="s">
        <v>1591</v>
      </c>
    </row>
    <row r="1501" spans="1:36" s="3" customFormat="1" ht="108" x14ac:dyDescent="0.25">
      <c r="A1501" s="17" t="s">
        <v>1909</v>
      </c>
      <c r="B1501" s="18" t="s">
        <v>37</v>
      </c>
      <c r="C1501" s="19" t="s">
        <v>1919</v>
      </c>
      <c r="D1501" s="45" t="s">
        <v>1920</v>
      </c>
      <c r="E1501" s="50" t="s">
        <v>1921</v>
      </c>
      <c r="F1501" s="58" t="s">
        <v>70</v>
      </c>
      <c r="G1501" s="51">
        <v>2052083.33</v>
      </c>
      <c r="H1501" s="51">
        <v>82083.33</v>
      </c>
      <c r="I1501" s="50" t="s">
        <v>1922</v>
      </c>
      <c r="J1501" s="58" t="s">
        <v>1923</v>
      </c>
      <c r="K1501" s="52" t="s">
        <v>1924</v>
      </c>
      <c r="L1501" s="59">
        <v>41466</v>
      </c>
      <c r="M1501" s="60">
        <f>L1501+150</f>
        <v>41616</v>
      </c>
      <c r="N1501" s="51">
        <v>2106610.7400000002</v>
      </c>
      <c r="O1501" s="59">
        <v>42009</v>
      </c>
      <c r="P1501" s="59">
        <f>M1501+1451</f>
        <v>43067</v>
      </c>
      <c r="Q1501" s="51"/>
      <c r="R1501" s="51">
        <f t="shared" ref="R1501:R1506" si="56">N1501+Q1501</f>
        <v>2106610.7400000002</v>
      </c>
      <c r="S1501" s="51"/>
      <c r="T1501" s="52" t="s">
        <v>81</v>
      </c>
      <c r="U1501" s="51"/>
      <c r="V1501" s="51"/>
      <c r="W1501" s="51"/>
      <c r="X1501" s="51"/>
      <c r="Y1501" s="19" t="s">
        <v>498</v>
      </c>
      <c r="Z1501" s="19"/>
      <c r="AA1501" s="28" t="s">
        <v>8176</v>
      </c>
      <c r="AB1501" s="56">
        <v>43413</v>
      </c>
      <c r="AC1501" s="28" t="s">
        <v>8177</v>
      </c>
      <c r="AD1501" s="28" t="s">
        <v>8178</v>
      </c>
      <c r="AE1501" s="54" t="s">
        <v>8179</v>
      </c>
      <c r="AF1501" s="54"/>
      <c r="AG1501" s="54" t="s">
        <v>8180</v>
      </c>
      <c r="AH1501" s="53" t="s">
        <v>1591</v>
      </c>
      <c r="AI1501" s="53" t="s">
        <v>2686</v>
      </c>
      <c r="AJ1501" s="53" t="s">
        <v>1591</v>
      </c>
    </row>
    <row r="1502" spans="1:36" s="3" customFormat="1" ht="60" x14ac:dyDescent="0.25">
      <c r="A1502" s="17" t="s">
        <v>1909</v>
      </c>
      <c r="B1502" s="18" t="s">
        <v>37</v>
      </c>
      <c r="C1502" s="19" t="s">
        <v>1930</v>
      </c>
      <c r="D1502" s="45" t="s">
        <v>1931</v>
      </c>
      <c r="E1502" s="50" t="s">
        <v>1932</v>
      </c>
      <c r="F1502" s="58" t="s">
        <v>1291</v>
      </c>
      <c r="G1502" s="51">
        <v>1660376.38</v>
      </c>
      <c r="H1502" s="51">
        <v>3760.78</v>
      </c>
      <c r="I1502" s="50" t="s">
        <v>129</v>
      </c>
      <c r="J1502" s="58" t="s">
        <v>1929</v>
      </c>
      <c r="K1502" s="52" t="s">
        <v>1593</v>
      </c>
      <c r="L1502" s="59">
        <v>41925</v>
      </c>
      <c r="M1502" s="60">
        <f>L1502+270</f>
        <v>42195</v>
      </c>
      <c r="N1502" s="51">
        <v>1617965.79</v>
      </c>
      <c r="O1502" s="59">
        <v>42927</v>
      </c>
      <c r="P1502" s="59">
        <f>M1502+808</f>
        <v>43003</v>
      </c>
      <c r="Q1502" s="51">
        <v>44845.47</v>
      </c>
      <c r="R1502" s="51">
        <f t="shared" si="56"/>
        <v>1662811.26</v>
      </c>
      <c r="S1502" s="51"/>
      <c r="T1502" s="52" t="s">
        <v>52</v>
      </c>
      <c r="U1502" s="51">
        <v>1662811.26</v>
      </c>
      <c r="V1502" s="51"/>
      <c r="W1502" s="51"/>
      <c r="X1502" s="51">
        <v>1330823.49</v>
      </c>
      <c r="Y1502" s="19" t="s">
        <v>149</v>
      </c>
      <c r="Z1502" s="19"/>
      <c r="AA1502" s="28" t="s">
        <v>8176</v>
      </c>
      <c r="AB1502" s="56">
        <v>43413</v>
      </c>
      <c r="AC1502" s="28" t="s">
        <v>8177</v>
      </c>
      <c r="AD1502" s="28" t="s">
        <v>8178</v>
      </c>
      <c r="AE1502" s="54" t="s">
        <v>8181</v>
      </c>
      <c r="AF1502" s="54"/>
      <c r="AG1502" s="54" t="s">
        <v>8182</v>
      </c>
      <c r="AH1502" s="53" t="s">
        <v>1591</v>
      </c>
      <c r="AI1502" s="53" t="s">
        <v>2686</v>
      </c>
      <c r="AJ1502" s="53" t="s">
        <v>1591</v>
      </c>
    </row>
    <row r="1503" spans="1:36" s="3" customFormat="1" ht="60" x14ac:dyDescent="0.25">
      <c r="A1503" s="17" t="s">
        <v>1909</v>
      </c>
      <c r="B1503" s="34" t="s">
        <v>37</v>
      </c>
      <c r="C1503" s="19" t="s">
        <v>3574</v>
      </c>
      <c r="D1503" s="45" t="s">
        <v>3575</v>
      </c>
      <c r="E1503" s="50" t="s">
        <v>3862</v>
      </c>
      <c r="F1503" s="58" t="s">
        <v>70</v>
      </c>
      <c r="G1503" s="51">
        <v>1976600</v>
      </c>
      <c r="H1503" s="51">
        <v>23400</v>
      </c>
      <c r="I1503" s="50" t="s">
        <v>649</v>
      </c>
      <c r="J1503" s="58" t="s">
        <v>3863</v>
      </c>
      <c r="K1503" s="52" t="s">
        <v>3864</v>
      </c>
      <c r="L1503" s="59">
        <v>42915</v>
      </c>
      <c r="M1503" s="60">
        <f>L1503+330</f>
        <v>43245</v>
      </c>
      <c r="N1503" s="51">
        <v>1584942.2</v>
      </c>
      <c r="O1503" s="59">
        <v>42936</v>
      </c>
      <c r="P1503" s="59">
        <v>0</v>
      </c>
      <c r="Q1503" s="51"/>
      <c r="R1503" s="51">
        <f t="shared" si="56"/>
        <v>1584942.2</v>
      </c>
      <c r="S1503" s="51"/>
      <c r="T1503" s="52" t="s">
        <v>52</v>
      </c>
      <c r="U1503" s="51"/>
      <c r="V1503" s="51"/>
      <c r="W1503" s="51"/>
      <c r="X1503" s="51"/>
      <c r="Y1503" s="19" t="s">
        <v>498</v>
      </c>
      <c r="Z1503" s="19"/>
      <c r="AA1503" s="28" t="s">
        <v>8176</v>
      </c>
      <c r="AB1503" s="56">
        <v>43413</v>
      </c>
      <c r="AC1503" s="28" t="s">
        <v>8177</v>
      </c>
      <c r="AD1503" s="28" t="s">
        <v>8178</v>
      </c>
      <c r="AE1503" s="54" t="s">
        <v>8183</v>
      </c>
      <c r="AF1503" s="54"/>
      <c r="AG1503" s="54" t="s">
        <v>8184</v>
      </c>
      <c r="AH1503" s="53" t="s">
        <v>1591</v>
      </c>
      <c r="AI1503" s="53" t="s">
        <v>2686</v>
      </c>
      <c r="AJ1503" s="53" t="s">
        <v>1591</v>
      </c>
    </row>
    <row r="1504" spans="1:36" s="3" customFormat="1" ht="60" x14ac:dyDescent="0.25">
      <c r="A1504" s="17" t="s">
        <v>1909</v>
      </c>
      <c r="B1504" s="18" t="s">
        <v>37</v>
      </c>
      <c r="C1504" s="19" t="s">
        <v>3572</v>
      </c>
      <c r="D1504" s="45" t="s">
        <v>3573</v>
      </c>
      <c r="E1504" s="50" t="s">
        <v>3859</v>
      </c>
      <c r="F1504" s="58" t="s">
        <v>70</v>
      </c>
      <c r="G1504" s="51">
        <v>987600</v>
      </c>
      <c r="H1504" s="51">
        <v>12400</v>
      </c>
      <c r="I1504" s="50" t="s">
        <v>3860</v>
      </c>
      <c r="J1504" s="58" t="s">
        <v>3861</v>
      </c>
      <c r="K1504" s="52" t="s">
        <v>3192</v>
      </c>
      <c r="L1504" s="59">
        <v>42898</v>
      </c>
      <c r="M1504" s="60">
        <f>L1504+180</f>
        <v>43078</v>
      </c>
      <c r="N1504" s="51">
        <v>772332.98</v>
      </c>
      <c r="O1504" s="59"/>
      <c r="P1504" s="59">
        <v>0</v>
      </c>
      <c r="Q1504" s="51"/>
      <c r="R1504" s="51">
        <f t="shared" si="56"/>
        <v>772332.98</v>
      </c>
      <c r="S1504" s="51"/>
      <c r="T1504" s="52" t="s">
        <v>52</v>
      </c>
      <c r="U1504" s="51">
        <v>29833.19</v>
      </c>
      <c r="V1504" s="51"/>
      <c r="W1504" s="51"/>
      <c r="X1504" s="51"/>
      <c r="Y1504" s="19" t="s">
        <v>175</v>
      </c>
      <c r="Z1504" s="19"/>
      <c r="AA1504" s="28" t="s">
        <v>8176</v>
      </c>
      <c r="AB1504" s="56">
        <v>43413</v>
      </c>
      <c r="AC1504" s="28" t="s">
        <v>8177</v>
      </c>
      <c r="AD1504" s="28" t="s">
        <v>8178</v>
      </c>
      <c r="AE1504" s="54" t="s">
        <v>8185</v>
      </c>
      <c r="AF1504" s="54"/>
      <c r="AG1504" s="54" t="s">
        <v>8186</v>
      </c>
      <c r="AH1504" s="53" t="s">
        <v>1591</v>
      </c>
      <c r="AI1504" s="53" t="s">
        <v>2686</v>
      </c>
      <c r="AJ1504" s="53" t="s">
        <v>1591</v>
      </c>
    </row>
    <row r="1505" spans="1:36" s="3" customFormat="1" ht="72" x14ac:dyDescent="0.25">
      <c r="A1505" s="17" t="s">
        <v>1909</v>
      </c>
      <c r="B1505" s="18" t="s">
        <v>37</v>
      </c>
      <c r="C1505" s="19" t="s">
        <v>1911</v>
      </c>
      <c r="D1505" s="45" t="s">
        <v>1912</v>
      </c>
      <c r="E1505" s="50" t="s">
        <v>1913</v>
      </c>
      <c r="F1505" s="58" t="s">
        <v>112</v>
      </c>
      <c r="G1505" s="51">
        <v>576000</v>
      </c>
      <c r="H1505" s="51">
        <v>24000</v>
      </c>
      <c r="I1505" s="50" t="s">
        <v>1205</v>
      </c>
      <c r="J1505" s="58" t="s">
        <v>1914</v>
      </c>
      <c r="K1505" s="52" t="s">
        <v>591</v>
      </c>
      <c r="L1505" s="59">
        <v>41443</v>
      </c>
      <c r="M1505" s="60">
        <f>L1505+180</f>
        <v>41623</v>
      </c>
      <c r="N1505" s="51">
        <v>516015.62</v>
      </c>
      <c r="O1505" s="59">
        <v>42736</v>
      </c>
      <c r="P1505" s="59">
        <f>M1505+1667</f>
        <v>43290</v>
      </c>
      <c r="Q1505" s="51">
        <v>-127204.43</v>
      </c>
      <c r="R1505" s="51">
        <f t="shared" si="56"/>
        <v>388811.19</v>
      </c>
      <c r="S1505" s="51"/>
      <c r="T1505" s="52" t="s">
        <v>52</v>
      </c>
      <c r="U1505" s="51">
        <v>232143.71</v>
      </c>
      <c r="V1505" s="51"/>
      <c r="W1505" s="51"/>
      <c r="X1505" s="51">
        <v>232143.71</v>
      </c>
      <c r="Y1505" s="19" t="s">
        <v>157</v>
      </c>
      <c r="Z1505" s="19"/>
      <c r="AA1505" s="28" t="s">
        <v>8176</v>
      </c>
      <c r="AB1505" s="56">
        <v>43413</v>
      </c>
      <c r="AC1505" s="28" t="s">
        <v>8177</v>
      </c>
      <c r="AD1505" s="28" t="s">
        <v>8178</v>
      </c>
      <c r="AE1505" s="54" t="s">
        <v>8187</v>
      </c>
      <c r="AF1505" s="54"/>
      <c r="AG1505" s="54" t="s">
        <v>8188</v>
      </c>
      <c r="AH1505" s="53" t="s">
        <v>1591</v>
      </c>
      <c r="AI1505" s="53" t="s">
        <v>2686</v>
      </c>
      <c r="AJ1505" s="53" t="s">
        <v>1591</v>
      </c>
    </row>
    <row r="1506" spans="1:36" s="3" customFormat="1" ht="48" x14ac:dyDescent="0.25">
      <c r="A1506" s="17" t="s">
        <v>1909</v>
      </c>
      <c r="B1506" s="18" t="s">
        <v>37</v>
      </c>
      <c r="C1506" s="19" t="s">
        <v>1916</v>
      </c>
      <c r="D1506" s="45" t="s">
        <v>1917</v>
      </c>
      <c r="E1506" s="50" t="s">
        <v>1918</v>
      </c>
      <c r="F1506" s="58" t="s">
        <v>70</v>
      </c>
      <c r="G1506" s="51">
        <v>344450</v>
      </c>
      <c r="H1506" s="51">
        <v>14400</v>
      </c>
      <c r="I1506" s="50" t="s">
        <v>1483</v>
      </c>
      <c r="J1506" s="58" t="s">
        <v>1915</v>
      </c>
      <c r="K1506" s="52" t="s">
        <v>439</v>
      </c>
      <c r="L1506" s="59">
        <v>41464</v>
      </c>
      <c r="M1506" s="60">
        <f>L1506+120</f>
        <v>41584</v>
      </c>
      <c r="N1506" s="51">
        <v>348297.92</v>
      </c>
      <c r="O1506" s="59">
        <v>42736</v>
      </c>
      <c r="P1506" s="59">
        <f>M1506+1181</f>
        <v>42765</v>
      </c>
      <c r="Q1506" s="51"/>
      <c r="R1506" s="51">
        <f t="shared" si="56"/>
        <v>348297.92</v>
      </c>
      <c r="S1506" s="51"/>
      <c r="T1506" s="52" t="s">
        <v>81</v>
      </c>
      <c r="U1506" s="51">
        <v>195104.45</v>
      </c>
      <c r="V1506" s="51"/>
      <c r="W1506" s="51"/>
      <c r="X1506" s="51">
        <v>185328.08</v>
      </c>
      <c r="Y1506" s="19" t="s">
        <v>498</v>
      </c>
      <c r="Z1506" s="19"/>
      <c r="AA1506" s="28" t="s">
        <v>8176</v>
      </c>
      <c r="AB1506" s="56">
        <v>43413</v>
      </c>
      <c r="AC1506" s="28" t="s">
        <v>8177</v>
      </c>
      <c r="AD1506" s="28" t="s">
        <v>8178</v>
      </c>
      <c r="AE1506" s="54" t="s">
        <v>8189</v>
      </c>
      <c r="AF1506" s="54"/>
      <c r="AG1506" s="54" t="s">
        <v>8190</v>
      </c>
      <c r="AH1506" s="53" t="s">
        <v>1591</v>
      </c>
      <c r="AI1506" s="53" t="s">
        <v>2686</v>
      </c>
      <c r="AJ1506" s="53" t="s">
        <v>1591</v>
      </c>
    </row>
    <row r="1507" spans="1:36" s="3" customFormat="1" ht="84" x14ac:dyDescent="0.25">
      <c r="A1507" s="17" t="s">
        <v>1909</v>
      </c>
      <c r="B1507" s="18" t="s">
        <v>37</v>
      </c>
      <c r="C1507" s="19" t="s">
        <v>3570</v>
      </c>
      <c r="D1507" s="45" t="s">
        <v>3571</v>
      </c>
      <c r="E1507" s="50"/>
      <c r="F1507" s="58"/>
      <c r="G1507" s="51"/>
      <c r="H1507" s="51"/>
      <c r="I1507" s="50" t="s">
        <v>2823</v>
      </c>
      <c r="J1507" s="58" t="s">
        <v>3857</v>
      </c>
      <c r="K1507" s="52" t="s">
        <v>3858</v>
      </c>
      <c r="L1507" s="59">
        <v>42898</v>
      </c>
      <c r="M1507" s="60">
        <f>L1507+90</f>
        <v>42988</v>
      </c>
      <c r="N1507" s="51">
        <v>204743.26</v>
      </c>
      <c r="O1507" s="59">
        <v>43054</v>
      </c>
      <c r="P1507" s="59">
        <f>M1507+90</f>
        <v>43078</v>
      </c>
      <c r="Q1507" s="51">
        <v>8897.3700000000008</v>
      </c>
      <c r="R1507" s="51">
        <f>N1507+Q1507</f>
        <v>213640.63</v>
      </c>
      <c r="S1507" s="51"/>
      <c r="T1507" s="52" t="s">
        <v>52</v>
      </c>
      <c r="U1507" s="51">
        <v>39035.57</v>
      </c>
      <c r="V1507" s="51">
        <v>30138.2</v>
      </c>
      <c r="W1507" s="51">
        <v>30138.2</v>
      </c>
      <c r="X1507" s="51">
        <v>30138.2</v>
      </c>
      <c r="Y1507" s="19" t="s">
        <v>498</v>
      </c>
      <c r="Z1507" s="19"/>
      <c r="AA1507" s="28" t="s">
        <v>8176</v>
      </c>
      <c r="AB1507" s="56">
        <v>43413</v>
      </c>
      <c r="AC1507" s="28" t="s">
        <v>8177</v>
      </c>
      <c r="AD1507" s="28" t="s">
        <v>8178</v>
      </c>
      <c r="AE1507" s="54" t="s">
        <v>8193</v>
      </c>
      <c r="AF1507" s="54"/>
      <c r="AG1507" s="54" t="s">
        <v>8194</v>
      </c>
      <c r="AH1507" s="53" t="s">
        <v>1591</v>
      </c>
      <c r="AI1507" s="53" t="s">
        <v>2686</v>
      </c>
      <c r="AJ1507" s="53" t="s">
        <v>1591</v>
      </c>
    </row>
    <row r="1508" spans="1:36" s="3" customFormat="1" ht="72" x14ac:dyDescent="0.25">
      <c r="A1508" s="17" t="s">
        <v>1909</v>
      </c>
      <c r="B1508" s="18" t="s">
        <v>37</v>
      </c>
      <c r="C1508" s="19" t="s">
        <v>1926</v>
      </c>
      <c r="D1508" s="45" t="s">
        <v>1927</v>
      </c>
      <c r="E1508" s="50" t="s">
        <v>1928</v>
      </c>
      <c r="F1508" s="58" t="s">
        <v>815</v>
      </c>
      <c r="G1508" s="51">
        <v>163182.73000000001</v>
      </c>
      <c r="H1508" s="51">
        <v>14080.09</v>
      </c>
      <c r="I1508" s="50" t="s">
        <v>129</v>
      </c>
      <c r="J1508" s="58" t="s">
        <v>1929</v>
      </c>
      <c r="K1508" s="52" t="s">
        <v>1063</v>
      </c>
      <c r="L1508" s="59">
        <v>41892</v>
      </c>
      <c r="M1508" s="60">
        <f>L1508+270</f>
        <v>42162</v>
      </c>
      <c r="N1508" s="51">
        <v>177262.82</v>
      </c>
      <c r="O1508" s="59">
        <v>42813</v>
      </c>
      <c r="P1508" s="59">
        <f>M1508+651</f>
        <v>42813</v>
      </c>
      <c r="Q1508" s="51">
        <v>-2249.63</v>
      </c>
      <c r="R1508" s="51">
        <f>N1508+Q1508</f>
        <v>175013.19</v>
      </c>
      <c r="S1508" s="51"/>
      <c r="T1508" s="52" t="s">
        <v>81</v>
      </c>
      <c r="U1508" s="51">
        <v>175013.19</v>
      </c>
      <c r="V1508" s="51"/>
      <c r="W1508" s="51"/>
      <c r="X1508" s="51">
        <v>149370.91</v>
      </c>
      <c r="Y1508" s="19" t="s">
        <v>149</v>
      </c>
      <c r="Z1508" s="19"/>
      <c r="AA1508" s="28" t="s">
        <v>8176</v>
      </c>
      <c r="AB1508" s="56">
        <v>43413</v>
      </c>
      <c r="AC1508" s="28" t="s">
        <v>8177</v>
      </c>
      <c r="AD1508" s="28" t="s">
        <v>8178</v>
      </c>
      <c r="AE1508" s="54" t="s">
        <v>8195</v>
      </c>
      <c r="AF1508" s="54"/>
      <c r="AG1508" s="54" t="s">
        <v>8196</v>
      </c>
      <c r="AH1508" s="53" t="s">
        <v>1591</v>
      </c>
      <c r="AI1508" s="53" t="s">
        <v>2686</v>
      </c>
      <c r="AJ1508" s="53" t="s">
        <v>1591</v>
      </c>
    </row>
    <row r="1509" spans="1:36" s="3" customFormat="1" ht="132" x14ac:dyDescent="0.25">
      <c r="A1509" s="17" t="s">
        <v>1909</v>
      </c>
      <c r="B1509" s="18" t="s">
        <v>37</v>
      </c>
      <c r="C1509" s="76" t="s">
        <v>6904</v>
      </c>
      <c r="D1509" s="77" t="s">
        <v>6905</v>
      </c>
      <c r="E1509" s="78"/>
      <c r="F1509" s="79"/>
      <c r="G1509" s="80"/>
      <c r="H1509" s="80"/>
      <c r="I1509" s="78" t="s">
        <v>1483</v>
      </c>
      <c r="J1509" s="79" t="s">
        <v>1915</v>
      </c>
      <c r="K1509" s="81" t="s">
        <v>459</v>
      </c>
      <c r="L1509" s="82">
        <v>41464</v>
      </c>
      <c r="M1509" s="83">
        <v>41554</v>
      </c>
      <c r="N1509" s="80">
        <v>89212.96</v>
      </c>
      <c r="O1509" s="82">
        <v>41608</v>
      </c>
      <c r="P1509" s="84" t="s">
        <v>150</v>
      </c>
      <c r="Q1509" s="80">
        <v>0</v>
      </c>
      <c r="R1509" s="80">
        <v>89212.96</v>
      </c>
      <c r="S1509" s="80"/>
      <c r="T1509" s="81" t="s">
        <v>81</v>
      </c>
      <c r="U1509" s="80">
        <v>35490.31</v>
      </c>
      <c r="V1509" s="80"/>
      <c r="W1509" s="80"/>
      <c r="X1509" s="80">
        <v>11389.93</v>
      </c>
      <c r="Y1509" s="76" t="s">
        <v>498</v>
      </c>
      <c r="Z1509" s="19" t="s">
        <v>7038</v>
      </c>
      <c r="AA1509" s="28" t="s">
        <v>8176</v>
      </c>
      <c r="AB1509" s="56">
        <v>43413</v>
      </c>
      <c r="AC1509" s="28" t="s">
        <v>8177</v>
      </c>
      <c r="AD1509" s="28" t="s">
        <v>8178</v>
      </c>
      <c r="AE1509" s="54" t="s">
        <v>8197</v>
      </c>
      <c r="AF1509" s="54"/>
      <c r="AG1509" s="54" t="s">
        <v>8198</v>
      </c>
      <c r="AH1509" s="53" t="s">
        <v>1591</v>
      </c>
      <c r="AI1509" s="53" t="s">
        <v>2686</v>
      </c>
      <c r="AJ1509" s="53" t="s">
        <v>1591</v>
      </c>
    </row>
    <row r="1510" spans="1:36" s="3" customFormat="1" ht="60" x14ac:dyDescent="0.25">
      <c r="A1510" s="17" t="s">
        <v>1909</v>
      </c>
      <c r="B1510" s="34" t="s">
        <v>37</v>
      </c>
      <c r="C1510" s="19" t="s">
        <v>3576</v>
      </c>
      <c r="D1510" s="45" t="s">
        <v>3577</v>
      </c>
      <c r="E1510" s="50" t="s">
        <v>3865</v>
      </c>
      <c r="F1510" s="58" t="s">
        <v>252</v>
      </c>
      <c r="G1510" s="51">
        <v>94881.45</v>
      </c>
      <c r="H1510" s="51"/>
      <c r="I1510" s="50" t="s">
        <v>2746</v>
      </c>
      <c r="J1510" s="58" t="s">
        <v>2747</v>
      </c>
      <c r="K1510" s="52" t="s">
        <v>2893</v>
      </c>
      <c r="L1510" s="59"/>
      <c r="M1510" s="60"/>
      <c r="N1510" s="51">
        <v>73220.13</v>
      </c>
      <c r="O1510" s="59"/>
      <c r="P1510" s="59">
        <v>0</v>
      </c>
      <c r="Q1510" s="51"/>
      <c r="R1510" s="51">
        <f>N1510+Q1510</f>
        <v>73220.13</v>
      </c>
      <c r="S1510" s="51"/>
      <c r="T1510" s="52" t="s">
        <v>81</v>
      </c>
      <c r="U1510" s="51">
        <v>3865.99</v>
      </c>
      <c r="V1510" s="51"/>
      <c r="W1510" s="51"/>
      <c r="X1510" s="51"/>
      <c r="Y1510" s="19" t="s">
        <v>175</v>
      </c>
      <c r="Z1510" s="19"/>
      <c r="AA1510" s="28" t="s">
        <v>8176</v>
      </c>
      <c r="AB1510" s="56">
        <v>43413</v>
      </c>
      <c r="AC1510" s="28" t="s">
        <v>8177</v>
      </c>
      <c r="AD1510" s="28" t="s">
        <v>8178</v>
      </c>
      <c r="AE1510" s="54" t="s">
        <v>8199</v>
      </c>
      <c r="AF1510" s="54"/>
      <c r="AG1510" s="54" t="s">
        <v>8200</v>
      </c>
      <c r="AH1510" s="53" t="s">
        <v>1591</v>
      </c>
      <c r="AI1510" s="53" t="s">
        <v>2686</v>
      </c>
      <c r="AJ1510" s="53" t="s">
        <v>1591</v>
      </c>
    </row>
    <row r="1511" spans="1:36" s="3" customFormat="1" ht="132" x14ac:dyDescent="0.25">
      <c r="A1511" s="17" t="s">
        <v>1909</v>
      </c>
      <c r="B1511" s="18" t="s">
        <v>37</v>
      </c>
      <c r="C1511" s="76" t="s">
        <v>6902</v>
      </c>
      <c r="D1511" s="45" t="s">
        <v>6906</v>
      </c>
      <c r="E1511" s="78"/>
      <c r="F1511" s="79"/>
      <c r="G1511" s="80"/>
      <c r="H1511" s="80"/>
      <c r="I1511" s="78" t="s">
        <v>1205</v>
      </c>
      <c r="J1511" s="79" t="s">
        <v>1914</v>
      </c>
      <c r="K1511" s="81" t="s">
        <v>1068</v>
      </c>
      <c r="L1511" s="82">
        <v>42198</v>
      </c>
      <c r="M1511" s="83">
        <v>42288</v>
      </c>
      <c r="N1511" s="80">
        <v>60464.47</v>
      </c>
      <c r="O1511" s="82">
        <v>42282</v>
      </c>
      <c r="P1511" s="84" t="s">
        <v>6903</v>
      </c>
      <c r="Q1511" s="80">
        <v>0</v>
      </c>
      <c r="R1511" s="80">
        <v>60464.47</v>
      </c>
      <c r="S1511" s="80"/>
      <c r="T1511" s="81" t="s">
        <v>52</v>
      </c>
      <c r="U1511" s="80"/>
      <c r="V1511" s="80"/>
      <c r="W1511" s="80"/>
      <c r="X1511" s="80"/>
      <c r="Y1511" s="76" t="s">
        <v>157</v>
      </c>
      <c r="Z1511" s="19" t="s">
        <v>7038</v>
      </c>
      <c r="AA1511" s="28" t="s">
        <v>8176</v>
      </c>
      <c r="AB1511" s="56">
        <v>43413</v>
      </c>
      <c r="AC1511" s="28" t="s">
        <v>8177</v>
      </c>
      <c r="AD1511" s="28" t="s">
        <v>8178</v>
      </c>
      <c r="AE1511" s="54" t="s">
        <v>8191</v>
      </c>
      <c r="AF1511" s="54"/>
      <c r="AG1511" s="54" t="s">
        <v>8192</v>
      </c>
      <c r="AH1511" s="53" t="s">
        <v>1591</v>
      </c>
      <c r="AI1511" s="53" t="s">
        <v>2686</v>
      </c>
      <c r="AJ1511" s="53" t="s">
        <v>1591</v>
      </c>
    </row>
    <row r="1512" spans="1:36" s="3" customFormat="1" ht="72" x14ac:dyDescent="0.25">
      <c r="A1512" s="17" t="s">
        <v>1909</v>
      </c>
      <c r="B1512" s="18" t="s">
        <v>37</v>
      </c>
      <c r="C1512" s="76" t="s">
        <v>6902</v>
      </c>
      <c r="D1512" s="45" t="s">
        <v>6907</v>
      </c>
      <c r="E1512" s="78"/>
      <c r="F1512" s="79"/>
      <c r="G1512" s="80"/>
      <c r="H1512" s="80"/>
      <c r="I1512" s="78" t="s">
        <v>1205</v>
      </c>
      <c r="J1512" s="79" t="s">
        <v>1914</v>
      </c>
      <c r="K1512" s="81" t="s">
        <v>1068</v>
      </c>
      <c r="L1512" s="82">
        <v>42198</v>
      </c>
      <c r="M1512" s="83">
        <v>42288</v>
      </c>
      <c r="N1512" s="80">
        <v>55008.32</v>
      </c>
      <c r="O1512" s="82">
        <v>42282</v>
      </c>
      <c r="P1512" s="84" t="s">
        <v>6903</v>
      </c>
      <c r="Q1512" s="80">
        <v>0</v>
      </c>
      <c r="R1512" s="80">
        <v>55008.32</v>
      </c>
      <c r="S1512" s="80"/>
      <c r="T1512" s="81" t="s">
        <v>52</v>
      </c>
      <c r="U1512" s="80">
        <v>20283.04</v>
      </c>
      <c r="V1512" s="80"/>
      <c r="W1512" s="80"/>
      <c r="X1512" s="80">
        <v>20283.04</v>
      </c>
      <c r="Y1512" s="76" t="s">
        <v>157</v>
      </c>
      <c r="Z1512" s="19" t="s">
        <v>7038</v>
      </c>
      <c r="AA1512" s="28" t="s">
        <v>8176</v>
      </c>
      <c r="AB1512" s="56">
        <v>43413</v>
      </c>
      <c r="AC1512" s="28" t="s">
        <v>8177</v>
      </c>
      <c r="AD1512" s="28" t="s">
        <v>8178</v>
      </c>
      <c r="AE1512" s="54" t="s">
        <v>8201</v>
      </c>
      <c r="AF1512" s="54"/>
      <c r="AG1512" s="54" t="s">
        <v>8202</v>
      </c>
      <c r="AH1512" s="53" t="s">
        <v>1591</v>
      </c>
      <c r="AI1512" s="53" t="s">
        <v>2686</v>
      </c>
      <c r="AJ1512" s="53" t="s">
        <v>1591</v>
      </c>
    </row>
    <row r="1513" spans="1:36" s="3" customFormat="1" ht="84" x14ac:dyDescent="0.25">
      <c r="A1513" s="17" t="s">
        <v>1909</v>
      </c>
      <c r="B1513" s="18" t="s">
        <v>37</v>
      </c>
      <c r="C1513" s="76" t="s">
        <v>6902</v>
      </c>
      <c r="D1513" s="45" t="s">
        <v>6908</v>
      </c>
      <c r="E1513" s="78"/>
      <c r="F1513" s="79"/>
      <c r="G1513" s="80"/>
      <c r="H1513" s="80"/>
      <c r="I1513" s="78" t="s">
        <v>1205</v>
      </c>
      <c r="J1513" s="79" t="s">
        <v>1914</v>
      </c>
      <c r="K1513" s="81" t="s">
        <v>1068</v>
      </c>
      <c r="L1513" s="82">
        <v>42198</v>
      </c>
      <c r="M1513" s="83">
        <v>42288</v>
      </c>
      <c r="N1513" s="80">
        <v>34192.339999999997</v>
      </c>
      <c r="O1513" s="82">
        <v>42282</v>
      </c>
      <c r="P1513" s="84" t="s">
        <v>6903</v>
      </c>
      <c r="Q1513" s="80">
        <v>0</v>
      </c>
      <c r="R1513" s="80">
        <v>34192.339999999997</v>
      </c>
      <c r="S1513" s="80"/>
      <c r="T1513" s="81" t="s">
        <v>52</v>
      </c>
      <c r="U1513" s="80"/>
      <c r="V1513" s="80"/>
      <c r="W1513" s="80"/>
      <c r="X1513" s="80"/>
      <c r="Y1513" s="76" t="s">
        <v>157</v>
      </c>
      <c r="Z1513" s="19" t="s">
        <v>7038</v>
      </c>
      <c r="AA1513" s="28" t="s">
        <v>8176</v>
      </c>
      <c r="AB1513" s="56">
        <v>43413</v>
      </c>
      <c r="AC1513" s="28" t="s">
        <v>8177</v>
      </c>
      <c r="AD1513" s="28" t="s">
        <v>8178</v>
      </c>
      <c r="AE1513" s="54" t="s">
        <v>8191</v>
      </c>
      <c r="AF1513" s="54"/>
      <c r="AG1513" s="54" t="s">
        <v>8203</v>
      </c>
      <c r="AH1513" s="53" t="s">
        <v>1591</v>
      </c>
      <c r="AI1513" s="53" t="s">
        <v>2686</v>
      </c>
      <c r="AJ1513" s="53" t="s">
        <v>1591</v>
      </c>
    </row>
    <row r="1514" spans="1:36" s="3" customFormat="1" ht="48" x14ac:dyDescent="0.25">
      <c r="A1514" s="35" t="s">
        <v>2756</v>
      </c>
      <c r="B1514" s="18" t="s">
        <v>37</v>
      </c>
      <c r="C1514" s="76"/>
      <c r="D1514" s="33" t="s">
        <v>6909</v>
      </c>
      <c r="E1514" s="78"/>
      <c r="F1514" s="36"/>
      <c r="G1514" s="80"/>
      <c r="H1514" s="80"/>
      <c r="I1514" s="36" t="s">
        <v>6652</v>
      </c>
      <c r="J1514" s="34" t="s">
        <v>6910</v>
      </c>
      <c r="K1514" s="37" t="s">
        <v>1397</v>
      </c>
      <c r="L1514" s="38">
        <v>41745</v>
      </c>
      <c r="M1514" s="39">
        <v>41865</v>
      </c>
      <c r="N1514" s="40">
        <v>772248.16</v>
      </c>
      <c r="O1514" s="85"/>
      <c r="P1514" s="86">
        <v>41865</v>
      </c>
      <c r="Q1514" s="41"/>
      <c r="R1514" s="41">
        <v>772248.16</v>
      </c>
      <c r="S1514" s="80"/>
      <c r="T1514" s="81"/>
      <c r="U1514" s="80"/>
      <c r="V1514" s="80"/>
      <c r="W1514" s="42"/>
      <c r="X1514" s="42">
        <v>850808.41</v>
      </c>
      <c r="Y1514" s="34" t="s">
        <v>4321</v>
      </c>
      <c r="Z1514" s="19" t="s">
        <v>7038</v>
      </c>
      <c r="AA1514" s="28" t="s">
        <v>8457</v>
      </c>
      <c r="AB1514" s="56">
        <v>43452</v>
      </c>
      <c r="AC1514" s="28" t="s">
        <v>8402</v>
      </c>
      <c r="AD1514" s="28" t="s">
        <v>8403</v>
      </c>
      <c r="AE1514" s="54" t="s">
        <v>8405</v>
      </c>
      <c r="AF1514" s="54"/>
      <c r="AG1514" s="54" t="s">
        <v>8404</v>
      </c>
      <c r="AH1514" s="53"/>
      <c r="AI1514" s="53" t="s">
        <v>1591</v>
      </c>
      <c r="AJ1514" s="53" t="s">
        <v>1591</v>
      </c>
    </row>
    <row r="1515" spans="1:36" s="3" customFormat="1" ht="72" x14ac:dyDescent="0.25">
      <c r="A1515" s="17" t="s">
        <v>1933</v>
      </c>
      <c r="B1515" s="18" t="s">
        <v>37</v>
      </c>
      <c r="C1515" s="76" t="s">
        <v>6912</v>
      </c>
      <c r="D1515" s="65" t="s">
        <v>6913</v>
      </c>
      <c r="E1515" s="78"/>
      <c r="F1515" s="79"/>
      <c r="G1515" s="80"/>
      <c r="H1515" s="80"/>
      <c r="I1515" s="78" t="s">
        <v>627</v>
      </c>
      <c r="J1515" s="79" t="s">
        <v>6911</v>
      </c>
      <c r="K1515" s="81"/>
      <c r="L1515" s="82"/>
      <c r="M1515" s="83"/>
      <c r="N1515" s="91"/>
      <c r="O1515" s="82"/>
      <c r="P1515" s="84"/>
      <c r="Q1515" s="80">
        <v>0</v>
      </c>
      <c r="R1515" s="80"/>
      <c r="S1515" s="80"/>
      <c r="T1515" s="81" t="s">
        <v>52</v>
      </c>
      <c r="U1515" s="80">
        <v>2908451.93</v>
      </c>
      <c r="V1515" s="80"/>
      <c r="W1515" s="80"/>
      <c r="X1515" s="80">
        <v>2908451.93</v>
      </c>
      <c r="Y1515" s="76" t="s">
        <v>42</v>
      </c>
      <c r="Z1515" s="19" t="s">
        <v>7038</v>
      </c>
      <c r="AA1515" s="28" t="s">
        <v>8457</v>
      </c>
      <c r="AB1515" s="56">
        <v>43452</v>
      </c>
      <c r="AC1515" s="28" t="s">
        <v>8402</v>
      </c>
      <c r="AD1515" s="28" t="s">
        <v>8403</v>
      </c>
      <c r="AE1515" s="54" t="s">
        <v>8406</v>
      </c>
      <c r="AF1515" s="54"/>
      <c r="AG1515" s="54" t="s">
        <v>8404</v>
      </c>
      <c r="AH1515" s="53" t="s">
        <v>1591</v>
      </c>
      <c r="AI1515" s="53" t="s">
        <v>2686</v>
      </c>
      <c r="AJ1515" s="53" t="s">
        <v>1591</v>
      </c>
    </row>
    <row r="1516" spans="1:36" s="3" customFormat="1" ht="108" x14ac:dyDescent="0.25">
      <c r="A1516" s="35" t="s">
        <v>2832</v>
      </c>
      <c r="B1516" s="18" t="s">
        <v>37</v>
      </c>
      <c r="C1516" s="76"/>
      <c r="D1516" s="33" t="s">
        <v>6914</v>
      </c>
      <c r="E1516" s="78"/>
      <c r="F1516" s="36" t="s">
        <v>661</v>
      </c>
      <c r="G1516" s="80"/>
      <c r="H1516" s="80"/>
      <c r="I1516" s="36" t="s">
        <v>6915</v>
      </c>
      <c r="J1516" s="34" t="s">
        <v>6916</v>
      </c>
      <c r="K1516" s="37" t="s">
        <v>321</v>
      </c>
      <c r="L1516" s="38">
        <v>42068</v>
      </c>
      <c r="M1516" s="39">
        <v>42128</v>
      </c>
      <c r="N1516" s="40">
        <v>143727.42000000001</v>
      </c>
      <c r="O1516" s="85"/>
      <c r="P1516" s="86">
        <v>42128</v>
      </c>
      <c r="Q1516" s="41"/>
      <c r="R1516" s="41">
        <v>143727.42000000001</v>
      </c>
      <c r="S1516" s="80"/>
      <c r="T1516" s="81"/>
      <c r="U1516" s="80"/>
      <c r="V1516" s="80"/>
      <c r="W1516" s="42"/>
      <c r="X1516" s="42">
        <v>108727.55</v>
      </c>
      <c r="Y1516" s="34" t="s">
        <v>4321</v>
      </c>
      <c r="Z1516" s="19" t="s">
        <v>7038</v>
      </c>
      <c r="AA1516" s="28" t="s">
        <v>8204</v>
      </c>
      <c r="AB1516" s="56">
        <v>43430</v>
      </c>
      <c r="AC1516" s="28" t="s">
        <v>8205</v>
      </c>
      <c r="AD1516" s="28" t="s">
        <v>8206</v>
      </c>
      <c r="AE1516" s="54" t="s">
        <v>8207</v>
      </c>
      <c r="AF1516" s="54"/>
      <c r="AG1516" s="54" t="s">
        <v>8208</v>
      </c>
      <c r="AH1516" s="53" t="s">
        <v>1591</v>
      </c>
      <c r="AI1516" s="53" t="s">
        <v>2686</v>
      </c>
      <c r="AJ1516" s="53" t="s">
        <v>1591</v>
      </c>
    </row>
    <row r="1517" spans="1:36" s="3" customFormat="1" ht="84" x14ac:dyDescent="0.25">
      <c r="A1517" s="17" t="s">
        <v>1891</v>
      </c>
      <c r="B1517" s="34" t="s">
        <v>37</v>
      </c>
      <c r="C1517" s="19" t="s">
        <v>1905</v>
      </c>
      <c r="D1517" s="65" t="s">
        <v>1906</v>
      </c>
      <c r="E1517" s="50"/>
      <c r="F1517" s="58"/>
      <c r="G1517" s="51"/>
      <c r="H1517" s="51"/>
      <c r="I1517" s="50" t="s">
        <v>1877</v>
      </c>
      <c r="J1517" s="58" t="s">
        <v>1907</v>
      </c>
      <c r="K1517" s="52" t="s">
        <v>1908</v>
      </c>
      <c r="L1517" s="59">
        <v>41836</v>
      </c>
      <c r="M1517" s="60">
        <f>L1517+120</f>
        <v>41956</v>
      </c>
      <c r="N1517" s="66">
        <v>2572353.1</v>
      </c>
      <c r="O1517" s="59" t="s">
        <v>180</v>
      </c>
      <c r="P1517" s="59">
        <f>M1517+180</f>
        <v>42136</v>
      </c>
      <c r="Q1517" s="51"/>
      <c r="R1517" s="51">
        <f t="shared" ref="R1517:R1521" si="57">N1517+Q1517</f>
        <v>2572353.1</v>
      </c>
      <c r="S1517" s="51" t="s">
        <v>180</v>
      </c>
      <c r="T1517" s="52">
        <v>449051</v>
      </c>
      <c r="U1517" s="51"/>
      <c r="V1517" s="51">
        <v>51903.839999999997</v>
      </c>
      <c r="W1517" s="51">
        <v>51903.839999999997</v>
      </c>
      <c r="X1517" s="51">
        <v>51903.839999999997</v>
      </c>
      <c r="Y1517" s="19" t="s">
        <v>175</v>
      </c>
      <c r="Z1517" s="19"/>
      <c r="AA1517" s="28"/>
      <c r="AB1517" s="56"/>
      <c r="AC1517" s="28"/>
      <c r="AD1517" s="28"/>
      <c r="AE1517" s="54"/>
      <c r="AF1517" s="54"/>
      <c r="AG1517" s="54"/>
      <c r="AH1517" s="53"/>
      <c r="AI1517" s="53" t="s">
        <v>1591</v>
      </c>
      <c r="AJ1517" s="53" t="s">
        <v>1591</v>
      </c>
    </row>
    <row r="1518" spans="1:36" s="3" customFormat="1" ht="84" x14ac:dyDescent="0.25">
      <c r="A1518" s="17" t="s">
        <v>1891</v>
      </c>
      <c r="B1518" s="34" t="s">
        <v>37</v>
      </c>
      <c r="C1518" s="19" t="s">
        <v>1898</v>
      </c>
      <c r="D1518" s="65" t="s">
        <v>1899</v>
      </c>
      <c r="E1518" s="50" t="s">
        <v>652</v>
      </c>
      <c r="F1518" s="58" t="s">
        <v>1892</v>
      </c>
      <c r="G1518" s="51">
        <v>2168872.5499999998</v>
      </c>
      <c r="H1518" s="51" t="s">
        <v>46</v>
      </c>
      <c r="I1518" s="50" t="s">
        <v>1437</v>
      </c>
      <c r="J1518" s="58" t="s">
        <v>1900</v>
      </c>
      <c r="K1518" s="52" t="s">
        <v>652</v>
      </c>
      <c r="L1518" s="59">
        <v>42550</v>
      </c>
      <c r="M1518" s="60">
        <f>L1518+180</f>
        <v>42730</v>
      </c>
      <c r="N1518" s="66">
        <v>2168872.5499999998</v>
      </c>
      <c r="O1518" s="59" t="s">
        <v>46</v>
      </c>
      <c r="P1518" s="59">
        <v>0</v>
      </c>
      <c r="Q1518" s="51"/>
      <c r="R1518" s="51">
        <f t="shared" si="57"/>
        <v>2168872.5499999998</v>
      </c>
      <c r="S1518" s="51" t="s">
        <v>180</v>
      </c>
      <c r="T1518" s="52">
        <v>449051</v>
      </c>
      <c r="U1518" s="51"/>
      <c r="V1518" s="51">
        <v>73812.87</v>
      </c>
      <c r="W1518" s="51">
        <v>73812.87</v>
      </c>
      <c r="X1518" s="51">
        <v>73812.87</v>
      </c>
      <c r="Y1518" s="19" t="s">
        <v>175</v>
      </c>
      <c r="Z1518" s="19"/>
      <c r="AA1518" s="28"/>
      <c r="AB1518" s="56"/>
      <c r="AC1518" s="28"/>
      <c r="AD1518" s="28"/>
      <c r="AE1518" s="54"/>
      <c r="AF1518" s="54"/>
      <c r="AG1518" s="54"/>
      <c r="AH1518" s="53"/>
      <c r="AI1518" s="53" t="s">
        <v>1591</v>
      </c>
      <c r="AJ1518" s="53" t="s">
        <v>1591</v>
      </c>
    </row>
    <row r="1519" spans="1:36" s="3" customFormat="1" ht="84" x14ac:dyDescent="0.25">
      <c r="A1519" s="17" t="s">
        <v>1891</v>
      </c>
      <c r="B1519" s="34" t="s">
        <v>37</v>
      </c>
      <c r="C1519" s="19" t="s">
        <v>1901</v>
      </c>
      <c r="D1519" s="65" t="s">
        <v>1902</v>
      </c>
      <c r="E1519" s="50" t="s">
        <v>324</v>
      </c>
      <c r="F1519" s="58" t="s">
        <v>1892</v>
      </c>
      <c r="G1519" s="51">
        <v>2161954.41</v>
      </c>
      <c r="H1519" s="51" t="s">
        <v>46</v>
      </c>
      <c r="I1519" s="50" t="s">
        <v>1903</v>
      </c>
      <c r="J1519" s="58" t="s">
        <v>1904</v>
      </c>
      <c r="K1519" s="52" t="s">
        <v>324</v>
      </c>
      <c r="L1519" s="59">
        <v>42550</v>
      </c>
      <c r="M1519" s="60">
        <f>L1519+180</f>
        <v>42730</v>
      </c>
      <c r="N1519" s="66">
        <v>2161954.41</v>
      </c>
      <c r="O1519" s="59" t="s">
        <v>46</v>
      </c>
      <c r="P1519" s="59">
        <v>0</v>
      </c>
      <c r="Q1519" s="51"/>
      <c r="R1519" s="51">
        <f t="shared" si="57"/>
        <v>2161954.41</v>
      </c>
      <c r="S1519" s="51" t="s">
        <v>180</v>
      </c>
      <c r="T1519" s="52">
        <v>449051</v>
      </c>
      <c r="U1519" s="51"/>
      <c r="V1519" s="51">
        <v>298194.73</v>
      </c>
      <c r="W1519" s="51">
        <v>298194.73</v>
      </c>
      <c r="X1519" s="51">
        <v>298194.73</v>
      </c>
      <c r="Y1519" s="19" t="s">
        <v>3945</v>
      </c>
      <c r="Z1519" s="19"/>
      <c r="AA1519" s="28"/>
      <c r="AB1519" s="56"/>
      <c r="AC1519" s="28"/>
      <c r="AD1519" s="28"/>
      <c r="AE1519" s="54"/>
      <c r="AF1519" s="54"/>
      <c r="AG1519" s="54"/>
      <c r="AH1519" s="53"/>
      <c r="AI1519" s="53" t="s">
        <v>1591</v>
      </c>
      <c r="AJ1519" s="53" t="s">
        <v>1591</v>
      </c>
    </row>
    <row r="1520" spans="1:36" s="3" customFormat="1" ht="96" x14ac:dyDescent="0.25">
      <c r="A1520" s="17" t="s">
        <v>1891</v>
      </c>
      <c r="B1520" s="34" t="s">
        <v>37</v>
      </c>
      <c r="C1520" s="19" t="s">
        <v>1893</v>
      </c>
      <c r="D1520" s="65" t="s">
        <v>1894</v>
      </c>
      <c r="E1520" s="50" t="s">
        <v>258</v>
      </c>
      <c r="F1520" s="58" t="s">
        <v>1895</v>
      </c>
      <c r="G1520" s="51">
        <v>1098905.83</v>
      </c>
      <c r="H1520" s="51"/>
      <c r="I1520" s="50" t="s">
        <v>1896</v>
      </c>
      <c r="J1520" s="58" t="s">
        <v>1897</v>
      </c>
      <c r="K1520" s="52" t="s">
        <v>1185</v>
      </c>
      <c r="L1520" s="59">
        <v>41942</v>
      </c>
      <c r="M1520" s="60">
        <f>L1520+180</f>
        <v>42122</v>
      </c>
      <c r="N1520" s="66">
        <v>1098905.83</v>
      </c>
      <c r="O1520" s="59" t="s">
        <v>180</v>
      </c>
      <c r="P1520" s="59">
        <v>0</v>
      </c>
      <c r="Q1520" s="51"/>
      <c r="R1520" s="51">
        <f t="shared" si="57"/>
        <v>1098905.83</v>
      </c>
      <c r="S1520" s="51" t="s">
        <v>180</v>
      </c>
      <c r="T1520" s="52">
        <v>449051</v>
      </c>
      <c r="U1520" s="51"/>
      <c r="V1520" s="51">
        <v>155189.23000000001</v>
      </c>
      <c r="W1520" s="51">
        <v>155189.23000000001</v>
      </c>
      <c r="X1520" s="51">
        <v>155189.23000000001</v>
      </c>
      <c r="Y1520" s="19" t="s">
        <v>175</v>
      </c>
      <c r="Z1520" s="19"/>
      <c r="AA1520" s="28"/>
      <c r="AB1520" s="56"/>
      <c r="AC1520" s="28"/>
      <c r="AD1520" s="28"/>
      <c r="AE1520" s="54"/>
      <c r="AF1520" s="54"/>
      <c r="AG1520" s="54"/>
      <c r="AH1520" s="53"/>
      <c r="AI1520" s="53" t="s">
        <v>1591</v>
      </c>
      <c r="AJ1520" s="53" t="s">
        <v>1591</v>
      </c>
    </row>
    <row r="1521" spans="1:36" s="3" customFormat="1" ht="36" x14ac:dyDescent="0.25">
      <c r="A1521" s="17" t="s">
        <v>1887</v>
      </c>
      <c r="B1521" s="18" t="s">
        <v>37</v>
      </c>
      <c r="C1521" s="19" t="s">
        <v>3590</v>
      </c>
      <c r="D1521" s="45" t="s">
        <v>3591</v>
      </c>
      <c r="E1521" s="50">
        <v>31326</v>
      </c>
      <c r="F1521" s="58" t="s">
        <v>43</v>
      </c>
      <c r="G1521" s="51">
        <v>1019327.33</v>
      </c>
      <c r="H1521" s="51"/>
      <c r="I1521" s="50" t="s">
        <v>980</v>
      </c>
      <c r="J1521" s="58" t="s">
        <v>3870</v>
      </c>
      <c r="K1521" s="52" t="s">
        <v>3871</v>
      </c>
      <c r="L1521" s="59">
        <v>41990</v>
      </c>
      <c r="M1521" s="60">
        <v>42355</v>
      </c>
      <c r="N1521" s="51">
        <v>1019327.33</v>
      </c>
      <c r="O1521" s="59" t="s">
        <v>180</v>
      </c>
      <c r="P1521" s="59">
        <v>43086</v>
      </c>
      <c r="Q1521" s="51"/>
      <c r="R1521" s="51">
        <f t="shared" si="57"/>
        <v>1019327.33</v>
      </c>
      <c r="S1521" s="51"/>
      <c r="T1521" s="52" t="s">
        <v>45</v>
      </c>
      <c r="U1521" s="51">
        <v>126625.57</v>
      </c>
      <c r="V1521" s="51" t="s">
        <v>180</v>
      </c>
      <c r="W1521" s="51">
        <v>29256.22</v>
      </c>
      <c r="X1521" s="51">
        <v>155881.79</v>
      </c>
      <c r="Y1521" s="19" t="s">
        <v>997</v>
      </c>
      <c r="Z1521" s="19"/>
      <c r="AA1521" s="28"/>
      <c r="AB1521" s="56"/>
      <c r="AC1521" s="28"/>
      <c r="AD1521" s="28"/>
      <c r="AE1521" s="54"/>
      <c r="AF1521" s="54"/>
      <c r="AG1521" s="54"/>
      <c r="AH1521" s="53"/>
      <c r="AI1521" s="53" t="s">
        <v>1591</v>
      </c>
      <c r="AJ1521" s="53" t="s">
        <v>1591</v>
      </c>
    </row>
    <row r="1522" spans="1:36" s="3" customFormat="1" ht="36" x14ac:dyDescent="0.25">
      <c r="A1522" s="17" t="s">
        <v>1887</v>
      </c>
      <c r="B1522" s="18" t="s">
        <v>37</v>
      </c>
      <c r="C1522" s="76" t="s">
        <v>6917</v>
      </c>
      <c r="D1522" s="45" t="s">
        <v>6918</v>
      </c>
      <c r="E1522" s="78" t="s">
        <v>6919</v>
      </c>
      <c r="F1522" s="79" t="s">
        <v>60</v>
      </c>
      <c r="G1522" s="80">
        <v>509991.69</v>
      </c>
      <c r="H1522" s="80">
        <v>0</v>
      </c>
      <c r="I1522" s="78" t="s">
        <v>119</v>
      </c>
      <c r="J1522" s="79" t="s">
        <v>6920</v>
      </c>
      <c r="K1522" s="81" t="s">
        <v>6921</v>
      </c>
      <c r="L1522" s="82">
        <v>41782</v>
      </c>
      <c r="M1522" s="83">
        <v>41962</v>
      </c>
      <c r="N1522" s="80">
        <v>509693.58</v>
      </c>
      <c r="O1522" s="82">
        <v>42681</v>
      </c>
      <c r="P1522" s="84" t="s">
        <v>5060</v>
      </c>
      <c r="Q1522" s="80">
        <v>0</v>
      </c>
      <c r="R1522" s="80">
        <v>509693.58</v>
      </c>
      <c r="S1522" s="80"/>
      <c r="T1522" s="81" t="s">
        <v>211</v>
      </c>
      <c r="U1522" s="80"/>
      <c r="V1522" s="80"/>
      <c r="W1522" s="80"/>
      <c r="X1522" s="80">
        <v>267949.07</v>
      </c>
      <c r="Y1522" s="76" t="s">
        <v>175</v>
      </c>
      <c r="Z1522" s="19" t="s">
        <v>7038</v>
      </c>
      <c r="AA1522" s="28"/>
      <c r="AB1522" s="56"/>
      <c r="AC1522" s="28"/>
      <c r="AD1522" s="28"/>
      <c r="AE1522" s="54"/>
      <c r="AF1522" s="54"/>
      <c r="AG1522" s="54"/>
      <c r="AH1522" s="53"/>
      <c r="AI1522" s="53" t="s">
        <v>1591</v>
      </c>
      <c r="AJ1522" s="53" t="s">
        <v>1591</v>
      </c>
    </row>
    <row r="1523" spans="1:36" s="3" customFormat="1" ht="36" x14ac:dyDescent="0.25">
      <c r="A1523" s="17" t="s">
        <v>1887</v>
      </c>
      <c r="B1523" s="18" t="s">
        <v>37</v>
      </c>
      <c r="C1523" s="76" t="s">
        <v>6922</v>
      </c>
      <c r="D1523" s="45" t="s">
        <v>6923</v>
      </c>
      <c r="E1523" s="78" t="s">
        <v>6924</v>
      </c>
      <c r="F1523" s="79" t="s">
        <v>4798</v>
      </c>
      <c r="G1523" s="80">
        <v>408000</v>
      </c>
      <c r="H1523" s="80">
        <v>20666.18</v>
      </c>
      <c r="I1523" s="78" t="s">
        <v>119</v>
      </c>
      <c r="J1523" s="79" t="s">
        <v>6920</v>
      </c>
      <c r="K1523" s="81" t="s">
        <v>6925</v>
      </c>
      <c r="L1523" s="82">
        <v>41766</v>
      </c>
      <c r="M1523" s="83">
        <v>41946</v>
      </c>
      <c r="N1523" s="80">
        <v>428666.18</v>
      </c>
      <c r="O1523" s="82">
        <v>42678</v>
      </c>
      <c r="P1523" s="84" t="s">
        <v>5060</v>
      </c>
      <c r="Q1523" s="80">
        <v>0</v>
      </c>
      <c r="R1523" s="80">
        <v>428666.18</v>
      </c>
      <c r="S1523" s="80"/>
      <c r="T1523" s="81" t="s">
        <v>211</v>
      </c>
      <c r="U1523" s="80"/>
      <c r="V1523" s="80"/>
      <c r="W1523" s="80"/>
      <c r="X1523" s="80">
        <v>323012.63</v>
      </c>
      <c r="Y1523" s="76" t="s">
        <v>175</v>
      </c>
      <c r="Z1523" s="19" t="s">
        <v>7038</v>
      </c>
      <c r="AA1523" s="28"/>
      <c r="AB1523" s="56"/>
      <c r="AC1523" s="28"/>
      <c r="AD1523" s="28"/>
      <c r="AE1523" s="54"/>
      <c r="AF1523" s="54"/>
      <c r="AG1523" s="54"/>
      <c r="AH1523" s="53"/>
      <c r="AI1523" s="53" t="s">
        <v>1591</v>
      </c>
      <c r="AJ1523" s="53" t="s">
        <v>1591</v>
      </c>
    </row>
    <row r="1524" spans="1:36" s="3" customFormat="1" ht="36" x14ac:dyDescent="0.25">
      <c r="A1524" s="17" t="s">
        <v>1887</v>
      </c>
      <c r="B1524" s="18" t="s">
        <v>37</v>
      </c>
      <c r="C1524" s="76" t="s">
        <v>6926</v>
      </c>
      <c r="D1524" s="45" t="s">
        <v>6927</v>
      </c>
      <c r="E1524" s="78" t="s">
        <v>1889</v>
      </c>
      <c r="F1524" s="79" t="s">
        <v>1889</v>
      </c>
      <c r="G1524" s="80" t="s">
        <v>1889</v>
      </c>
      <c r="H1524" s="80" t="s">
        <v>1889</v>
      </c>
      <c r="I1524" s="78" t="s">
        <v>6928</v>
      </c>
      <c r="J1524" s="79" t="s">
        <v>6929</v>
      </c>
      <c r="K1524" s="81" t="s">
        <v>6930</v>
      </c>
      <c r="L1524" s="82">
        <v>42268</v>
      </c>
      <c r="M1524" s="83">
        <v>42508</v>
      </c>
      <c r="N1524" s="80">
        <v>140999</v>
      </c>
      <c r="O1524" s="82">
        <v>42511</v>
      </c>
      <c r="P1524" s="84" t="s">
        <v>1889</v>
      </c>
      <c r="Q1524" s="80">
        <v>0</v>
      </c>
      <c r="R1524" s="80">
        <v>140999</v>
      </c>
      <c r="S1524" s="80"/>
      <c r="T1524" s="81" t="s">
        <v>211</v>
      </c>
      <c r="U1524" s="80">
        <v>19019.87</v>
      </c>
      <c r="V1524" s="80"/>
      <c r="W1524" s="80"/>
      <c r="X1524" s="80">
        <v>25957</v>
      </c>
      <c r="Y1524" s="76" t="s">
        <v>175</v>
      </c>
      <c r="Z1524" s="19" t="s">
        <v>7038</v>
      </c>
      <c r="AA1524" s="28"/>
      <c r="AB1524" s="56"/>
      <c r="AC1524" s="28"/>
      <c r="AD1524" s="28"/>
      <c r="AE1524" s="54"/>
      <c r="AF1524" s="54"/>
      <c r="AG1524" s="54"/>
      <c r="AH1524" s="53"/>
      <c r="AI1524" s="53" t="s">
        <v>1591</v>
      </c>
      <c r="AJ1524" s="53" t="s">
        <v>1591</v>
      </c>
    </row>
    <row r="1525" spans="1:36" s="3" customFormat="1" ht="36" x14ac:dyDescent="0.25">
      <c r="A1525" s="17" t="s">
        <v>1887</v>
      </c>
      <c r="B1525" s="18" t="s">
        <v>37</v>
      </c>
      <c r="C1525" s="76" t="s">
        <v>6931</v>
      </c>
      <c r="D1525" s="45" t="s">
        <v>6932</v>
      </c>
      <c r="E1525" s="78" t="s">
        <v>1150</v>
      </c>
      <c r="F1525" s="79" t="s">
        <v>659</v>
      </c>
      <c r="G1525" s="80">
        <v>128000</v>
      </c>
      <c r="H1525" s="80">
        <v>14398.24</v>
      </c>
      <c r="I1525" s="78" t="s">
        <v>980</v>
      </c>
      <c r="J1525" s="79" t="s">
        <v>1888</v>
      </c>
      <c r="K1525" s="81" t="s">
        <v>6933</v>
      </c>
      <c r="L1525" s="82">
        <v>41884</v>
      </c>
      <c r="M1525" s="83">
        <v>42064</v>
      </c>
      <c r="N1525" s="80">
        <v>134817.17000000001</v>
      </c>
      <c r="O1525" s="82">
        <v>42606</v>
      </c>
      <c r="P1525" s="84" t="s">
        <v>5049</v>
      </c>
      <c r="Q1525" s="80">
        <v>0</v>
      </c>
      <c r="R1525" s="80">
        <v>134817.17000000001</v>
      </c>
      <c r="S1525" s="80"/>
      <c r="T1525" s="81" t="s">
        <v>211</v>
      </c>
      <c r="U1525" s="80"/>
      <c r="V1525" s="80"/>
      <c r="W1525" s="80"/>
      <c r="X1525" s="80">
        <v>71124.08</v>
      </c>
      <c r="Y1525" s="76" t="s">
        <v>175</v>
      </c>
      <c r="Z1525" s="19" t="s">
        <v>7038</v>
      </c>
      <c r="AA1525" s="28"/>
      <c r="AB1525" s="56"/>
      <c r="AC1525" s="28"/>
      <c r="AD1525" s="28"/>
      <c r="AE1525" s="54"/>
      <c r="AF1525" s="54"/>
      <c r="AG1525" s="54"/>
      <c r="AH1525" s="53"/>
      <c r="AI1525" s="53" t="s">
        <v>1591</v>
      </c>
      <c r="AJ1525" s="53" t="s">
        <v>1591</v>
      </c>
    </row>
    <row r="1526" spans="1:36" s="3" customFormat="1" ht="36" x14ac:dyDescent="0.25">
      <c r="A1526" s="17" t="s">
        <v>1887</v>
      </c>
      <c r="B1526" s="18" t="s">
        <v>37</v>
      </c>
      <c r="C1526" s="76" t="s">
        <v>6934</v>
      </c>
      <c r="D1526" s="45" t="s">
        <v>6935</v>
      </c>
      <c r="E1526" s="78" t="s">
        <v>6936</v>
      </c>
      <c r="F1526" s="79" t="s">
        <v>1890</v>
      </c>
      <c r="G1526" s="80">
        <v>138888.07</v>
      </c>
      <c r="H1526" s="80">
        <v>722.09</v>
      </c>
      <c r="I1526" s="78" t="s">
        <v>1225</v>
      </c>
      <c r="J1526" s="79" t="s">
        <v>6937</v>
      </c>
      <c r="K1526" s="81" t="s">
        <v>6933</v>
      </c>
      <c r="L1526" s="82">
        <v>41908</v>
      </c>
      <c r="M1526" s="83">
        <v>42088</v>
      </c>
      <c r="N1526" s="80">
        <v>132569</v>
      </c>
      <c r="O1526" s="82">
        <v>42628</v>
      </c>
      <c r="P1526" s="84" t="s">
        <v>5061</v>
      </c>
      <c r="Q1526" s="80">
        <v>0</v>
      </c>
      <c r="R1526" s="80">
        <v>132569</v>
      </c>
      <c r="S1526" s="80"/>
      <c r="T1526" s="81" t="s">
        <v>211</v>
      </c>
      <c r="U1526" s="80">
        <v>16288.09</v>
      </c>
      <c r="V1526" s="80"/>
      <c r="W1526" s="80"/>
      <c r="X1526" s="80">
        <v>55622.74</v>
      </c>
      <c r="Y1526" s="76" t="s">
        <v>175</v>
      </c>
      <c r="Z1526" s="19" t="s">
        <v>7038</v>
      </c>
      <c r="AA1526" s="28"/>
      <c r="AB1526" s="56"/>
      <c r="AC1526" s="28"/>
      <c r="AD1526" s="28"/>
      <c r="AE1526" s="54"/>
      <c r="AF1526" s="54"/>
      <c r="AG1526" s="54"/>
      <c r="AH1526" s="53"/>
      <c r="AI1526" s="53" t="s">
        <v>1591</v>
      </c>
      <c r="AJ1526" s="53" t="s">
        <v>1591</v>
      </c>
    </row>
    <row r="1527" spans="1:36" s="3" customFormat="1" ht="36" x14ac:dyDescent="0.25">
      <c r="A1527" s="17" t="s">
        <v>1887</v>
      </c>
      <c r="B1527" s="18" t="s">
        <v>37</v>
      </c>
      <c r="C1527" s="76" t="s">
        <v>6931</v>
      </c>
      <c r="D1527" s="45" t="s">
        <v>6938</v>
      </c>
      <c r="E1527" s="78" t="s">
        <v>959</v>
      </c>
      <c r="F1527" s="79" t="s">
        <v>659</v>
      </c>
      <c r="G1527" s="80">
        <v>130000</v>
      </c>
      <c r="H1527" s="80">
        <v>15192.43</v>
      </c>
      <c r="I1527" s="78" t="s">
        <v>980</v>
      </c>
      <c r="J1527" s="79" t="s">
        <v>1888</v>
      </c>
      <c r="K1527" s="81" t="s">
        <v>6939</v>
      </c>
      <c r="L1527" s="82">
        <v>41884</v>
      </c>
      <c r="M1527" s="83">
        <v>42064</v>
      </c>
      <c r="N1527" s="80">
        <v>132310.85</v>
      </c>
      <c r="O1527" s="82" t="s">
        <v>6940</v>
      </c>
      <c r="P1527" s="84" t="s">
        <v>5061</v>
      </c>
      <c r="Q1527" s="80">
        <v>0</v>
      </c>
      <c r="R1527" s="80">
        <v>132310.85</v>
      </c>
      <c r="S1527" s="80"/>
      <c r="T1527" s="81" t="s">
        <v>211</v>
      </c>
      <c r="U1527" s="80"/>
      <c r="V1527" s="80"/>
      <c r="W1527" s="80"/>
      <c r="X1527" s="80">
        <v>71199.12</v>
      </c>
      <c r="Y1527" s="76" t="s">
        <v>175</v>
      </c>
      <c r="Z1527" s="19" t="s">
        <v>7038</v>
      </c>
      <c r="AA1527" s="28"/>
      <c r="AB1527" s="56"/>
      <c r="AC1527" s="28"/>
      <c r="AD1527" s="28"/>
      <c r="AE1527" s="54"/>
      <c r="AF1527" s="54"/>
      <c r="AG1527" s="54"/>
      <c r="AH1527" s="53"/>
      <c r="AI1527" s="53" t="s">
        <v>1591</v>
      </c>
      <c r="AJ1527" s="53" t="s">
        <v>1591</v>
      </c>
    </row>
    <row r="1528" spans="1:36" s="3" customFormat="1" ht="36" x14ac:dyDescent="0.25">
      <c r="A1528" s="17" t="s">
        <v>1879</v>
      </c>
      <c r="B1528" s="18" t="s">
        <v>37</v>
      </c>
      <c r="C1528" s="76" t="s">
        <v>709</v>
      </c>
      <c r="D1528" s="77" t="s">
        <v>6941</v>
      </c>
      <c r="E1528" s="78" t="s">
        <v>1880</v>
      </c>
      <c r="F1528" s="79" t="s">
        <v>1881</v>
      </c>
      <c r="G1528" s="80">
        <v>509921.58</v>
      </c>
      <c r="H1528" s="80" t="s">
        <v>1591</v>
      </c>
      <c r="I1528" s="78" t="s">
        <v>144</v>
      </c>
      <c r="J1528" s="79" t="s">
        <v>5173</v>
      </c>
      <c r="K1528" s="81" t="s">
        <v>1882</v>
      </c>
      <c r="L1528" s="82">
        <v>41772</v>
      </c>
      <c r="M1528" s="83">
        <v>42042</v>
      </c>
      <c r="N1528" s="80">
        <v>508168.24</v>
      </c>
      <c r="O1528" s="82" t="s">
        <v>39</v>
      </c>
      <c r="P1528" s="84" t="s">
        <v>6942</v>
      </c>
      <c r="Q1528" s="80">
        <v>0</v>
      </c>
      <c r="R1528" s="80">
        <v>508168.24</v>
      </c>
      <c r="S1528" s="80" t="s">
        <v>39</v>
      </c>
      <c r="T1528" s="81" t="s">
        <v>52</v>
      </c>
      <c r="U1528" s="80"/>
      <c r="V1528" s="80"/>
      <c r="W1528" s="80"/>
      <c r="X1528" s="80">
        <v>253870.33</v>
      </c>
      <c r="Y1528" s="76" t="s">
        <v>4564</v>
      </c>
      <c r="Z1528" s="19" t="s">
        <v>7038</v>
      </c>
      <c r="AA1528" s="28" t="s">
        <v>8209</v>
      </c>
      <c r="AB1528" s="56">
        <v>43418</v>
      </c>
      <c r="AC1528" s="28" t="s">
        <v>8210</v>
      </c>
      <c r="AD1528" s="28" t="s">
        <v>8211</v>
      </c>
      <c r="AE1528" s="54" t="s">
        <v>8212</v>
      </c>
      <c r="AF1528" s="54"/>
      <c r="AG1528" s="54" t="s">
        <v>8213</v>
      </c>
      <c r="AH1528" s="53" t="s">
        <v>1591</v>
      </c>
      <c r="AI1528" s="53" t="s">
        <v>2686</v>
      </c>
      <c r="AJ1528" s="53" t="s">
        <v>1591</v>
      </c>
    </row>
    <row r="1529" spans="1:36" s="3" customFormat="1" ht="48" x14ac:dyDescent="0.25">
      <c r="A1529" s="17" t="s">
        <v>1879</v>
      </c>
      <c r="B1529" s="18" t="s">
        <v>37</v>
      </c>
      <c r="C1529" s="19" t="s">
        <v>115</v>
      </c>
      <c r="D1529" s="45" t="s">
        <v>1885</v>
      </c>
      <c r="E1529" s="50" t="s">
        <v>1886</v>
      </c>
      <c r="F1529" s="58" t="s">
        <v>3872</v>
      </c>
      <c r="G1529" s="51">
        <v>1100000</v>
      </c>
      <c r="H1529" s="51">
        <v>40000</v>
      </c>
      <c r="I1529" s="50" t="s">
        <v>79</v>
      </c>
      <c r="J1529" s="58" t="s">
        <v>1884</v>
      </c>
      <c r="K1529" s="52" t="s">
        <v>552</v>
      </c>
      <c r="L1529" s="59">
        <v>42555</v>
      </c>
      <c r="M1529" s="60">
        <f>L1529+180</f>
        <v>42735</v>
      </c>
      <c r="N1529" s="51">
        <v>407889.18</v>
      </c>
      <c r="O1529" s="59" t="s">
        <v>39</v>
      </c>
      <c r="P1529" s="59">
        <v>0</v>
      </c>
      <c r="Q1529" s="51"/>
      <c r="R1529" s="51">
        <f t="shared" ref="R1529:R1530" si="58">N1529+Q1529</f>
        <v>407889.18</v>
      </c>
      <c r="S1529" s="51" t="s">
        <v>39</v>
      </c>
      <c r="T1529" s="52" t="s">
        <v>52</v>
      </c>
      <c r="U1529" s="51">
        <v>0</v>
      </c>
      <c r="V1529" s="51">
        <v>0</v>
      </c>
      <c r="W1529" s="51">
        <v>0</v>
      </c>
      <c r="X1529" s="51">
        <v>0</v>
      </c>
      <c r="Y1529" s="19" t="s">
        <v>157</v>
      </c>
      <c r="Z1529" s="19"/>
      <c r="AA1529" s="28" t="s">
        <v>8209</v>
      </c>
      <c r="AB1529" s="56">
        <v>43418</v>
      </c>
      <c r="AC1529" s="28" t="s">
        <v>8210</v>
      </c>
      <c r="AD1529" s="28" t="s">
        <v>8211</v>
      </c>
      <c r="AE1529" s="54" t="s">
        <v>8214</v>
      </c>
      <c r="AF1529" s="54"/>
      <c r="AG1529" s="54" t="s">
        <v>8215</v>
      </c>
      <c r="AH1529" s="53" t="s">
        <v>1591</v>
      </c>
      <c r="AI1529" s="53" t="s">
        <v>2686</v>
      </c>
      <c r="AJ1529" s="53" t="s">
        <v>1591</v>
      </c>
    </row>
    <row r="1530" spans="1:36" s="3" customFormat="1" ht="48" x14ac:dyDescent="0.25">
      <c r="A1530" s="35" t="s">
        <v>1874</v>
      </c>
      <c r="B1530" s="34" t="s">
        <v>37</v>
      </c>
      <c r="C1530" s="19" t="s">
        <v>3592</v>
      </c>
      <c r="D1530" s="43" t="s">
        <v>3593</v>
      </c>
      <c r="E1530" s="50" t="s">
        <v>3874</v>
      </c>
      <c r="F1530" s="36" t="s">
        <v>2603</v>
      </c>
      <c r="G1530" s="51">
        <v>295300</v>
      </c>
      <c r="H1530" s="51">
        <v>69390.3</v>
      </c>
      <c r="I1530" s="36" t="s">
        <v>1875</v>
      </c>
      <c r="J1530" s="34" t="s">
        <v>1876</v>
      </c>
      <c r="K1530" s="37" t="s">
        <v>3875</v>
      </c>
      <c r="L1530" s="38">
        <v>40701</v>
      </c>
      <c r="M1530" s="39">
        <f>L1530+180</f>
        <v>40881</v>
      </c>
      <c r="N1530" s="42">
        <v>364690.3</v>
      </c>
      <c r="O1530" s="74">
        <v>43159</v>
      </c>
      <c r="P1530" s="39">
        <f>M1530+2460</f>
        <v>43341</v>
      </c>
      <c r="Q1530" s="41"/>
      <c r="R1530" s="51">
        <f t="shared" si="58"/>
        <v>364690.3</v>
      </c>
      <c r="S1530" s="51" t="s">
        <v>200</v>
      </c>
      <c r="T1530" s="52" t="s">
        <v>478</v>
      </c>
      <c r="U1530" s="51" t="s">
        <v>200</v>
      </c>
      <c r="V1530" s="51" t="s">
        <v>200</v>
      </c>
      <c r="W1530" s="42"/>
      <c r="X1530" s="42">
        <v>315426.7</v>
      </c>
      <c r="Y1530" s="34" t="s">
        <v>477</v>
      </c>
      <c r="Z1530" s="34"/>
      <c r="AA1530" s="28" t="s">
        <v>8216</v>
      </c>
      <c r="AB1530" s="56">
        <v>43412</v>
      </c>
      <c r="AC1530" s="28" t="s">
        <v>8217</v>
      </c>
      <c r="AD1530" s="28" t="s">
        <v>8218</v>
      </c>
      <c r="AE1530" s="54" t="s">
        <v>8219</v>
      </c>
      <c r="AF1530" s="54"/>
      <c r="AG1530" s="54" t="s">
        <v>8220</v>
      </c>
      <c r="AH1530" s="53" t="s">
        <v>1591</v>
      </c>
      <c r="AI1530" s="53" t="s">
        <v>2686</v>
      </c>
      <c r="AJ1530" s="53" t="s">
        <v>1591</v>
      </c>
    </row>
    <row r="1531" spans="1:36" s="3" customFormat="1" ht="72" x14ac:dyDescent="0.25">
      <c r="A1531" s="17" t="s">
        <v>1857</v>
      </c>
      <c r="B1531" s="18" t="s">
        <v>37</v>
      </c>
      <c r="C1531" s="19" t="s">
        <v>3594</v>
      </c>
      <c r="D1531" s="45" t="s">
        <v>1867</v>
      </c>
      <c r="E1531" s="50"/>
      <c r="F1531" s="58"/>
      <c r="G1531" s="51"/>
      <c r="H1531" s="51"/>
      <c r="I1531" s="50" t="s">
        <v>853</v>
      </c>
      <c r="J1531" s="58" t="s">
        <v>1868</v>
      </c>
      <c r="K1531" s="52" t="s">
        <v>1869</v>
      </c>
      <c r="L1531" s="59">
        <v>42513</v>
      </c>
      <c r="M1531" s="60">
        <f>L1531+180</f>
        <v>42693</v>
      </c>
      <c r="N1531" s="51">
        <v>830838.3</v>
      </c>
      <c r="O1531" s="59" t="s">
        <v>3917</v>
      </c>
      <c r="P1531" s="59">
        <f>M1531+360</f>
        <v>43053</v>
      </c>
      <c r="Q1531" s="51">
        <v>159111</v>
      </c>
      <c r="R1531" s="51">
        <f>N1531+Q1531</f>
        <v>989949.3</v>
      </c>
      <c r="S1531" s="51"/>
      <c r="T1531" s="52" t="s">
        <v>52</v>
      </c>
      <c r="U1531" s="51">
        <v>734462.89</v>
      </c>
      <c r="V1531" s="51">
        <v>0</v>
      </c>
      <c r="W1531" s="51">
        <v>0</v>
      </c>
      <c r="X1531" s="51">
        <v>734462.89</v>
      </c>
      <c r="Y1531" s="19" t="s">
        <v>3946</v>
      </c>
      <c r="Z1531" s="19"/>
      <c r="AA1531" s="28" t="s">
        <v>8221</v>
      </c>
      <c r="AB1531" s="56">
        <v>43416</v>
      </c>
      <c r="AC1531" s="28" t="s">
        <v>8222</v>
      </c>
      <c r="AD1531" s="28" t="s">
        <v>8223</v>
      </c>
      <c r="AE1531" s="54" t="s">
        <v>8224</v>
      </c>
      <c r="AF1531" s="54"/>
      <c r="AG1531" s="54" t="s">
        <v>8225</v>
      </c>
      <c r="AH1531" s="53" t="s">
        <v>1591</v>
      </c>
      <c r="AI1531" s="53" t="s">
        <v>2686</v>
      </c>
      <c r="AJ1531" s="53" t="s">
        <v>1591</v>
      </c>
    </row>
    <row r="1532" spans="1:36" s="3" customFormat="1" ht="120" x14ac:dyDescent="0.25">
      <c r="A1532" s="35" t="s">
        <v>2757</v>
      </c>
      <c r="B1532" s="18" t="s">
        <v>37</v>
      </c>
      <c r="C1532" s="76"/>
      <c r="D1532" s="43" t="s">
        <v>6943</v>
      </c>
      <c r="E1532" s="78"/>
      <c r="F1532" s="36"/>
      <c r="G1532" s="80"/>
      <c r="H1532" s="80"/>
      <c r="I1532" s="36" t="s">
        <v>159</v>
      </c>
      <c r="J1532" s="34" t="s">
        <v>178</v>
      </c>
      <c r="K1532" s="37" t="s">
        <v>6944</v>
      </c>
      <c r="L1532" s="38">
        <v>40308</v>
      </c>
      <c r="M1532" s="39">
        <v>40398</v>
      </c>
      <c r="N1532" s="42">
        <v>810828.53</v>
      </c>
      <c r="O1532" s="85" t="s">
        <v>6945</v>
      </c>
      <c r="P1532" s="86">
        <v>42018</v>
      </c>
      <c r="Q1532" s="41"/>
      <c r="R1532" s="41">
        <v>810828.53</v>
      </c>
      <c r="S1532" s="80"/>
      <c r="T1532" s="81"/>
      <c r="U1532" s="80"/>
      <c r="V1532" s="80"/>
      <c r="W1532" s="42"/>
      <c r="X1532" s="42">
        <v>390274.53</v>
      </c>
      <c r="Y1532" s="34" t="s">
        <v>4321</v>
      </c>
      <c r="Z1532" s="19" t="s">
        <v>7038</v>
      </c>
      <c r="AA1532" s="28" t="s">
        <v>8221</v>
      </c>
      <c r="AB1532" s="56">
        <v>43416</v>
      </c>
      <c r="AC1532" s="28" t="s">
        <v>8222</v>
      </c>
      <c r="AD1532" s="28" t="s">
        <v>8223</v>
      </c>
      <c r="AE1532" s="54" t="s">
        <v>8226</v>
      </c>
      <c r="AF1532" s="54"/>
      <c r="AG1532" s="54" t="s">
        <v>8227</v>
      </c>
      <c r="AH1532" s="53" t="s">
        <v>1591</v>
      </c>
      <c r="AI1532" s="53" t="s">
        <v>2686</v>
      </c>
      <c r="AJ1532" s="53" t="s">
        <v>1591</v>
      </c>
    </row>
    <row r="1533" spans="1:36" s="3" customFormat="1" ht="96" x14ac:dyDescent="0.25">
      <c r="A1533" s="17" t="s">
        <v>1857</v>
      </c>
      <c r="B1533" s="18" t="s">
        <v>37</v>
      </c>
      <c r="C1533" s="19" t="s">
        <v>1864</v>
      </c>
      <c r="D1533" s="45" t="s">
        <v>1865</v>
      </c>
      <c r="E1533" s="50"/>
      <c r="F1533" s="58"/>
      <c r="G1533" s="51"/>
      <c r="H1533" s="51"/>
      <c r="I1533" s="50" t="s">
        <v>1180</v>
      </c>
      <c r="J1533" s="58" t="s">
        <v>1866</v>
      </c>
      <c r="K1533" s="52" t="s">
        <v>482</v>
      </c>
      <c r="L1533" s="59">
        <v>42460</v>
      </c>
      <c r="M1533" s="60">
        <f>L1533+180</f>
        <v>42640</v>
      </c>
      <c r="N1533" s="51">
        <v>564105.53</v>
      </c>
      <c r="O1533" s="59"/>
      <c r="P1533" s="59">
        <f>M1533+540</f>
        <v>43180</v>
      </c>
      <c r="Q1533" s="51"/>
      <c r="R1533" s="51">
        <f>N1533+Q1533</f>
        <v>564105.53</v>
      </c>
      <c r="S1533" s="51"/>
      <c r="T1533" s="52" t="s">
        <v>52</v>
      </c>
      <c r="U1533" s="51">
        <v>0</v>
      </c>
      <c r="V1533" s="51">
        <v>0</v>
      </c>
      <c r="W1533" s="51">
        <v>0</v>
      </c>
      <c r="X1533" s="51">
        <v>0</v>
      </c>
      <c r="Y1533" s="19" t="s">
        <v>3948</v>
      </c>
      <c r="Z1533" s="19"/>
      <c r="AA1533" s="28" t="s">
        <v>8221</v>
      </c>
      <c r="AB1533" s="56">
        <v>43416</v>
      </c>
      <c r="AC1533" s="28" t="s">
        <v>8222</v>
      </c>
      <c r="AD1533" s="28" t="s">
        <v>8223</v>
      </c>
      <c r="AE1533" s="54" t="s">
        <v>8228</v>
      </c>
      <c r="AF1533" s="54"/>
      <c r="AG1533" s="54" t="s">
        <v>8229</v>
      </c>
      <c r="AH1533" s="53" t="s">
        <v>1591</v>
      </c>
      <c r="AI1533" s="53" t="s">
        <v>2686</v>
      </c>
      <c r="AJ1533" s="53" t="s">
        <v>1591</v>
      </c>
    </row>
    <row r="1534" spans="1:36" s="3" customFormat="1" ht="72" x14ac:dyDescent="0.25">
      <c r="A1534" s="17" t="s">
        <v>1857</v>
      </c>
      <c r="B1534" s="18" t="s">
        <v>37</v>
      </c>
      <c r="C1534" s="76"/>
      <c r="D1534" s="45" t="s">
        <v>6947</v>
      </c>
      <c r="E1534" s="78" t="s">
        <v>6948</v>
      </c>
      <c r="F1534" s="79" t="s">
        <v>1858</v>
      </c>
      <c r="G1534" s="80"/>
      <c r="H1534" s="80"/>
      <c r="I1534" s="78" t="s">
        <v>6949</v>
      </c>
      <c r="J1534" s="79" t="s">
        <v>6950</v>
      </c>
      <c r="K1534" s="81" t="s">
        <v>6951</v>
      </c>
      <c r="L1534" s="82">
        <v>40374</v>
      </c>
      <c r="M1534" s="83">
        <v>40464</v>
      </c>
      <c r="N1534" s="80">
        <v>224766.53</v>
      </c>
      <c r="O1534" s="82"/>
      <c r="P1534" s="84" t="s">
        <v>5561</v>
      </c>
      <c r="Q1534" s="80">
        <v>0</v>
      </c>
      <c r="R1534" s="80">
        <v>224766.53</v>
      </c>
      <c r="S1534" s="80"/>
      <c r="T1534" s="81" t="s">
        <v>52</v>
      </c>
      <c r="U1534" s="80">
        <v>56191.63</v>
      </c>
      <c r="V1534" s="80"/>
      <c r="W1534" s="80"/>
      <c r="X1534" s="80">
        <v>56191.63</v>
      </c>
      <c r="Y1534" s="76" t="s">
        <v>6946</v>
      </c>
      <c r="Z1534" s="19" t="s">
        <v>7038</v>
      </c>
      <c r="AA1534" s="28" t="s">
        <v>8221</v>
      </c>
      <c r="AB1534" s="56">
        <v>43416</v>
      </c>
      <c r="AC1534" s="28" t="s">
        <v>8222</v>
      </c>
      <c r="AD1534" s="28" t="s">
        <v>8223</v>
      </c>
      <c r="AE1534" s="54" t="s">
        <v>8224</v>
      </c>
      <c r="AF1534" s="54"/>
      <c r="AG1534" s="54" t="s">
        <v>8230</v>
      </c>
      <c r="AH1534" s="53" t="s">
        <v>1591</v>
      </c>
      <c r="AI1534" s="53" t="s">
        <v>2686</v>
      </c>
      <c r="AJ1534" s="53" t="s">
        <v>1591</v>
      </c>
    </row>
    <row r="1535" spans="1:36" s="3" customFormat="1" ht="72" x14ac:dyDescent="0.25">
      <c r="A1535" s="17" t="s">
        <v>1857</v>
      </c>
      <c r="B1535" s="18" t="s">
        <v>37</v>
      </c>
      <c r="C1535" s="76" t="s">
        <v>6952</v>
      </c>
      <c r="D1535" s="45" t="s">
        <v>6953</v>
      </c>
      <c r="E1535" s="78"/>
      <c r="F1535" s="79"/>
      <c r="G1535" s="80"/>
      <c r="H1535" s="80"/>
      <c r="I1535" s="78" t="s">
        <v>1293</v>
      </c>
      <c r="J1535" s="79" t="s">
        <v>1862</v>
      </c>
      <c r="K1535" s="81" t="s">
        <v>6954</v>
      </c>
      <c r="L1535" s="82">
        <v>41982</v>
      </c>
      <c r="M1535" s="83">
        <v>42132</v>
      </c>
      <c r="N1535" s="80">
        <v>87872.5</v>
      </c>
      <c r="O1535" s="82" t="s">
        <v>6955</v>
      </c>
      <c r="P1535" s="84" t="s">
        <v>986</v>
      </c>
      <c r="Q1535" s="80">
        <v>0</v>
      </c>
      <c r="R1535" s="80">
        <v>87872.5</v>
      </c>
      <c r="S1535" s="80"/>
      <c r="T1535" s="81" t="s">
        <v>173</v>
      </c>
      <c r="U1535" s="80">
        <v>71068.649999999994</v>
      </c>
      <c r="V1535" s="80"/>
      <c r="W1535" s="80"/>
      <c r="X1535" s="80">
        <v>71068.649999999994</v>
      </c>
      <c r="Y1535" s="76" t="s">
        <v>149</v>
      </c>
      <c r="Z1535" s="19" t="s">
        <v>7038</v>
      </c>
      <c r="AA1535" s="28" t="s">
        <v>8221</v>
      </c>
      <c r="AB1535" s="56">
        <v>43416</v>
      </c>
      <c r="AC1535" s="28" t="s">
        <v>8222</v>
      </c>
      <c r="AD1535" s="28" t="s">
        <v>8223</v>
      </c>
      <c r="AE1535" s="54" t="s">
        <v>8226</v>
      </c>
      <c r="AF1535" s="54"/>
      <c r="AG1535" s="54" t="s">
        <v>8225</v>
      </c>
      <c r="AH1535" s="53" t="s">
        <v>1591</v>
      </c>
      <c r="AI1535" s="53" t="s">
        <v>2686</v>
      </c>
      <c r="AJ1535" s="53" t="s">
        <v>1591</v>
      </c>
    </row>
    <row r="1536" spans="1:36" s="3" customFormat="1" ht="96" x14ac:dyDescent="0.25">
      <c r="A1536" s="17" t="s">
        <v>1857</v>
      </c>
      <c r="B1536" s="18" t="s">
        <v>37</v>
      </c>
      <c r="C1536" s="19" t="s">
        <v>1859</v>
      </c>
      <c r="D1536" s="45" t="s">
        <v>1860</v>
      </c>
      <c r="E1536" s="50"/>
      <c r="F1536" s="58"/>
      <c r="G1536" s="51"/>
      <c r="H1536" s="51"/>
      <c r="I1536" s="50" t="s">
        <v>1296</v>
      </c>
      <c r="J1536" s="58" t="s">
        <v>1861</v>
      </c>
      <c r="K1536" s="52" t="s">
        <v>64</v>
      </c>
      <c r="L1536" s="59">
        <v>41694</v>
      </c>
      <c r="M1536" s="60">
        <f>L1536+15</f>
        <v>41709</v>
      </c>
      <c r="N1536" s="51">
        <v>25961.87</v>
      </c>
      <c r="O1536" s="59"/>
      <c r="P1536" s="59">
        <f>M1536+1230</f>
        <v>42939</v>
      </c>
      <c r="Q1536" s="51"/>
      <c r="R1536" s="51">
        <f>N1536+Q1536</f>
        <v>25961.87</v>
      </c>
      <c r="S1536" s="51"/>
      <c r="T1536" s="52" t="s">
        <v>52</v>
      </c>
      <c r="U1536" s="51">
        <v>0</v>
      </c>
      <c r="V1536" s="51">
        <v>0</v>
      </c>
      <c r="W1536" s="51">
        <v>0</v>
      </c>
      <c r="X1536" s="51">
        <v>0</v>
      </c>
      <c r="Y1536" s="19" t="s">
        <v>3947</v>
      </c>
      <c r="Z1536" s="19"/>
      <c r="AA1536" s="28" t="s">
        <v>8221</v>
      </c>
      <c r="AB1536" s="56">
        <v>43416</v>
      </c>
      <c r="AC1536" s="28" t="s">
        <v>8222</v>
      </c>
      <c r="AD1536" s="28" t="s">
        <v>8223</v>
      </c>
      <c r="AE1536" s="54" t="s">
        <v>8224</v>
      </c>
      <c r="AF1536" s="54"/>
      <c r="AG1536" s="54" t="s">
        <v>8231</v>
      </c>
      <c r="AH1536" s="53" t="s">
        <v>1591</v>
      </c>
      <c r="AI1536" s="53" t="s">
        <v>2686</v>
      </c>
      <c r="AJ1536" s="53" t="s">
        <v>1591</v>
      </c>
    </row>
    <row r="1537" spans="1:36" s="3" customFormat="1" ht="108" x14ac:dyDescent="0.25">
      <c r="A1537" s="17" t="s">
        <v>1852</v>
      </c>
      <c r="B1537" s="18" t="s">
        <v>37</v>
      </c>
      <c r="C1537" s="76" t="s">
        <v>6956</v>
      </c>
      <c r="D1537" s="45" t="s">
        <v>6957</v>
      </c>
      <c r="E1537" s="78"/>
      <c r="F1537" s="79"/>
      <c r="G1537" s="80"/>
      <c r="H1537" s="80"/>
      <c r="I1537" s="78" t="s">
        <v>912</v>
      </c>
      <c r="J1537" s="79" t="s">
        <v>6958</v>
      </c>
      <c r="K1537" s="81" t="s">
        <v>581</v>
      </c>
      <c r="L1537" s="82">
        <v>41733</v>
      </c>
      <c r="M1537" s="83">
        <v>41883</v>
      </c>
      <c r="N1537" s="80">
        <v>386067.54</v>
      </c>
      <c r="O1537" s="82">
        <v>41886</v>
      </c>
      <c r="P1537" s="84"/>
      <c r="Q1537" s="80">
        <v>0</v>
      </c>
      <c r="R1537" s="80">
        <v>386067.54</v>
      </c>
      <c r="S1537" s="80"/>
      <c r="T1537" s="81"/>
      <c r="U1537" s="80">
        <v>335402.68</v>
      </c>
      <c r="V1537" s="80"/>
      <c r="W1537" s="80"/>
      <c r="X1537" s="80">
        <v>335402.68</v>
      </c>
      <c r="Y1537" s="76" t="s">
        <v>186</v>
      </c>
      <c r="Z1537" s="19" t="s">
        <v>7038</v>
      </c>
      <c r="AA1537" s="28" t="s">
        <v>8232</v>
      </c>
      <c r="AB1537" s="56">
        <v>43431</v>
      </c>
      <c r="AC1537" s="28" t="s">
        <v>8233</v>
      </c>
      <c r="AD1537" s="28" t="s">
        <v>8234</v>
      </c>
      <c r="AE1537" s="54" t="s">
        <v>8235</v>
      </c>
      <c r="AF1537" s="54"/>
      <c r="AG1537" s="54" t="s">
        <v>8236</v>
      </c>
      <c r="AH1537" s="53" t="s">
        <v>1591</v>
      </c>
      <c r="AI1537" s="53" t="s">
        <v>2686</v>
      </c>
      <c r="AJ1537" s="53" t="s">
        <v>1591</v>
      </c>
    </row>
    <row r="1538" spans="1:36" s="3" customFormat="1" ht="108" x14ac:dyDescent="0.25">
      <c r="A1538" s="17" t="s">
        <v>1852</v>
      </c>
      <c r="B1538" s="18" t="s">
        <v>37</v>
      </c>
      <c r="C1538" s="19" t="s">
        <v>3595</v>
      </c>
      <c r="D1538" s="45" t="s">
        <v>1854</v>
      </c>
      <c r="E1538" s="50"/>
      <c r="F1538" s="58" t="s">
        <v>3876</v>
      </c>
      <c r="G1538" s="51"/>
      <c r="H1538" s="51"/>
      <c r="I1538" s="50" t="s">
        <v>1855</v>
      </c>
      <c r="J1538" s="58" t="s">
        <v>1856</v>
      </c>
      <c r="K1538" s="52" t="s">
        <v>1236</v>
      </c>
      <c r="L1538" s="59">
        <v>41043</v>
      </c>
      <c r="M1538" s="60">
        <f>L1538+120</f>
        <v>41163</v>
      </c>
      <c r="N1538" s="51">
        <v>238715.26</v>
      </c>
      <c r="O1538" s="59">
        <v>41166</v>
      </c>
      <c r="P1538" s="59">
        <v>0</v>
      </c>
      <c r="Q1538" s="51"/>
      <c r="R1538" s="51">
        <f>N1538+Q1538</f>
        <v>238715.26</v>
      </c>
      <c r="S1538" s="51"/>
      <c r="T1538" s="52" t="s">
        <v>1565</v>
      </c>
      <c r="U1538" s="51">
        <v>208523.92</v>
      </c>
      <c r="V1538" s="51">
        <v>13730.91</v>
      </c>
      <c r="W1538" s="51">
        <v>13730.91</v>
      </c>
      <c r="X1538" s="51">
        <v>150563.20000000001</v>
      </c>
      <c r="Y1538" s="19" t="s">
        <v>142</v>
      </c>
      <c r="Z1538" s="19"/>
      <c r="AA1538" s="28" t="s">
        <v>8232</v>
      </c>
      <c r="AB1538" s="56">
        <v>43431</v>
      </c>
      <c r="AC1538" s="28" t="s">
        <v>8233</v>
      </c>
      <c r="AD1538" s="28" t="s">
        <v>8234</v>
      </c>
      <c r="AE1538" s="54" t="s">
        <v>8237</v>
      </c>
      <c r="AF1538" s="54"/>
      <c r="AG1538" s="54" t="s">
        <v>8238</v>
      </c>
      <c r="AH1538" s="53" t="s">
        <v>1591</v>
      </c>
      <c r="AI1538" s="53" t="s">
        <v>2686</v>
      </c>
      <c r="AJ1538" s="53" t="s">
        <v>1591</v>
      </c>
    </row>
    <row r="1539" spans="1:36" s="3" customFormat="1" ht="36" x14ac:dyDescent="0.25">
      <c r="A1539" s="35" t="s">
        <v>1852</v>
      </c>
      <c r="B1539" s="18" t="s">
        <v>37</v>
      </c>
      <c r="C1539" s="76"/>
      <c r="D1539" s="43" t="s">
        <v>6961</v>
      </c>
      <c r="E1539" s="78"/>
      <c r="F1539" s="36"/>
      <c r="G1539" s="80"/>
      <c r="H1539" s="80"/>
      <c r="I1539" s="36" t="s">
        <v>2748</v>
      </c>
      <c r="J1539" s="34" t="s">
        <v>6962</v>
      </c>
      <c r="K1539" s="37" t="s">
        <v>607</v>
      </c>
      <c r="L1539" s="38">
        <v>41752</v>
      </c>
      <c r="M1539" s="39">
        <v>41932</v>
      </c>
      <c r="N1539" s="42">
        <v>190409.64</v>
      </c>
      <c r="O1539" s="85">
        <v>41935</v>
      </c>
      <c r="P1539" s="86"/>
      <c r="Q1539" s="41"/>
      <c r="R1539" s="41">
        <v>190409.64</v>
      </c>
      <c r="S1539" s="80"/>
      <c r="T1539" s="81"/>
      <c r="U1539" s="80"/>
      <c r="V1539" s="80"/>
      <c r="W1539" s="42"/>
      <c r="X1539" s="42">
        <v>133689.79999999999</v>
      </c>
      <c r="Y1539" s="34" t="s">
        <v>4321</v>
      </c>
      <c r="Z1539" s="19" t="s">
        <v>7038</v>
      </c>
      <c r="AA1539" s="28" t="s">
        <v>8232</v>
      </c>
      <c r="AB1539" s="56">
        <v>43431</v>
      </c>
      <c r="AC1539" s="28" t="s">
        <v>8233</v>
      </c>
      <c r="AD1539" s="28" t="s">
        <v>8234</v>
      </c>
      <c r="AE1539" s="54" t="s">
        <v>8239</v>
      </c>
      <c r="AF1539" s="54"/>
      <c r="AG1539" s="54" t="s">
        <v>8240</v>
      </c>
      <c r="AH1539" s="53" t="s">
        <v>1591</v>
      </c>
      <c r="AI1539" s="53" t="s">
        <v>2686</v>
      </c>
      <c r="AJ1539" s="53" t="s">
        <v>1591</v>
      </c>
    </row>
    <row r="1540" spans="1:36" s="3" customFormat="1" ht="108" x14ac:dyDescent="0.25">
      <c r="A1540" s="17" t="s">
        <v>1852</v>
      </c>
      <c r="B1540" s="18" t="s">
        <v>37</v>
      </c>
      <c r="C1540" s="76" t="s">
        <v>6963</v>
      </c>
      <c r="D1540" s="45" t="s">
        <v>6964</v>
      </c>
      <c r="E1540" s="78"/>
      <c r="F1540" s="79"/>
      <c r="G1540" s="80"/>
      <c r="H1540" s="80"/>
      <c r="I1540" s="78" t="s">
        <v>1205</v>
      </c>
      <c r="J1540" s="79" t="s">
        <v>6965</v>
      </c>
      <c r="K1540" s="81" t="s">
        <v>471</v>
      </c>
      <c r="L1540" s="82">
        <v>42177</v>
      </c>
      <c r="M1540" s="83">
        <v>42297</v>
      </c>
      <c r="N1540" s="80">
        <v>141276.99</v>
      </c>
      <c r="O1540" s="82">
        <v>42299</v>
      </c>
      <c r="P1540" s="84"/>
      <c r="Q1540" s="80">
        <v>0</v>
      </c>
      <c r="R1540" s="80">
        <v>141276.99</v>
      </c>
      <c r="S1540" s="80"/>
      <c r="T1540" s="81"/>
      <c r="U1540" s="80">
        <v>37103.660000000003</v>
      </c>
      <c r="V1540" s="80"/>
      <c r="W1540" s="80"/>
      <c r="X1540" s="80">
        <v>37103.660000000003</v>
      </c>
      <c r="Y1540" s="76" t="s">
        <v>575</v>
      </c>
      <c r="Z1540" s="19" t="s">
        <v>7038</v>
      </c>
      <c r="AA1540" s="28" t="s">
        <v>8232</v>
      </c>
      <c r="AB1540" s="56">
        <v>43431</v>
      </c>
      <c r="AC1540" s="28" t="s">
        <v>8233</v>
      </c>
      <c r="AD1540" s="28" t="s">
        <v>8234</v>
      </c>
      <c r="AE1540" s="54" t="s">
        <v>8241</v>
      </c>
      <c r="AF1540" s="54"/>
      <c r="AG1540" s="54" t="s">
        <v>8242</v>
      </c>
      <c r="AH1540" s="53" t="s">
        <v>1591</v>
      </c>
      <c r="AI1540" s="53" t="s">
        <v>2686</v>
      </c>
      <c r="AJ1540" s="53" t="s">
        <v>1591</v>
      </c>
    </row>
    <row r="1541" spans="1:36" s="3" customFormat="1" ht="120" x14ac:dyDescent="0.25">
      <c r="A1541" s="35" t="s">
        <v>2758</v>
      </c>
      <c r="B1541" s="18" t="s">
        <v>37</v>
      </c>
      <c r="C1541" s="76"/>
      <c r="D1541" s="43" t="s">
        <v>6966</v>
      </c>
      <c r="E1541" s="78"/>
      <c r="F1541" s="36"/>
      <c r="G1541" s="80"/>
      <c r="H1541" s="80"/>
      <c r="I1541" s="36" t="s">
        <v>129</v>
      </c>
      <c r="J1541" s="34" t="s">
        <v>6960</v>
      </c>
      <c r="K1541" s="37"/>
      <c r="L1541" s="38">
        <v>41766</v>
      </c>
      <c r="M1541" s="39">
        <v>41826</v>
      </c>
      <c r="N1541" s="42">
        <v>112009.78</v>
      </c>
      <c r="O1541" s="85">
        <v>41827</v>
      </c>
      <c r="P1541" s="86">
        <v>41826</v>
      </c>
      <c r="Q1541" s="41"/>
      <c r="R1541" s="41">
        <v>112009.78</v>
      </c>
      <c r="S1541" s="80"/>
      <c r="T1541" s="81"/>
      <c r="U1541" s="80"/>
      <c r="V1541" s="80"/>
      <c r="W1541" s="42"/>
      <c r="X1541" s="42">
        <v>55794.25</v>
      </c>
      <c r="Y1541" s="34" t="s">
        <v>4321</v>
      </c>
      <c r="Z1541" s="19" t="s">
        <v>7038</v>
      </c>
      <c r="AA1541" s="28" t="s">
        <v>8232</v>
      </c>
      <c r="AB1541" s="56">
        <v>43431</v>
      </c>
      <c r="AC1541" s="28" t="s">
        <v>8233</v>
      </c>
      <c r="AD1541" s="28" t="s">
        <v>8234</v>
      </c>
      <c r="AE1541" s="54" t="s">
        <v>8243</v>
      </c>
      <c r="AF1541" s="54"/>
      <c r="AG1541" s="54" t="s">
        <v>8244</v>
      </c>
      <c r="AH1541" s="53" t="s">
        <v>1591</v>
      </c>
      <c r="AI1541" s="53" t="s">
        <v>2686</v>
      </c>
      <c r="AJ1541" s="53" t="s">
        <v>1591</v>
      </c>
    </row>
    <row r="1542" spans="1:36" s="3" customFormat="1" ht="36" x14ac:dyDescent="0.25">
      <c r="A1542" s="35" t="s">
        <v>1852</v>
      </c>
      <c r="B1542" s="18" t="s">
        <v>37</v>
      </c>
      <c r="C1542" s="76"/>
      <c r="D1542" s="43" t="s">
        <v>6967</v>
      </c>
      <c r="E1542" s="78"/>
      <c r="F1542" s="36"/>
      <c r="G1542" s="80"/>
      <c r="H1542" s="80"/>
      <c r="I1542" s="36" t="s">
        <v>6968</v>
      </c>
      <c r="J1542" s="34" t="s">
        <v>6969</v>
      </c>
      <c r="K1542" s="37" t="s">
        <v>394</v>
      </c>
      <c r="L1542" s="38">
        <v>41724</v>
      </c>
      <c r="M1542" s="39">
        <v>41844</v>
      </c>
      <c r="N1542" s="42">
        <v>82128.070000000007</v>
      </c>
      <c r="O1542" s="85"/>
      <c r="P1542" s="86"/>
      <c r="Q1542" s="41"/>
      <c r="R1542" s="41">
        <v>82128.070000000007</v>
      </c>
      <c r="S1542" s="80"/>
      <c r="T1542" s="81"/>
      <c r="U1542" s="80"/>
      <c r="V1542" s="80"/>
      <c r="W1542" s="42"/>
      <c r="X1542" s="42"/>
      <c r="Y1542" s="34" t="s">
        <v>4321</v>
      </c>
      <c r="Z1542" s="19" t="s">
        <v>7038</v>
      </c>
      <c r="AA1542" s="28" t="s">
        <v>8232</v>
      </c>
      <c r="AB1542" s="56">
        <v>43431</v>
      </c>
      <c r="AC1542" s="28" t="s">
        <v>8233</v>
      </c>
      <c r="AD1542" s="28" t="s">
        <v>8234</v>
      </c>
      <c r="AE1542" s="54" t="s">
        <v>8245</v>
      </c>
      <c r="AF1542" s="54"/>
      <c r="AG1542" s="54" t="s">
        <v>8246</v>
      </c>
      <c r="AH1542" s="53" t="s">
        <v>1591</v>
      </c>
      <c r="AI1542" s="53" t="s">
        <v>2686</v>
      </c>
      <c r="AJ1542" s="53" t="s">
        <v>1591</v>
      </c>
    </row>
    <row r="1543" spans="1:36" s="3" customFormat="1" ht="72" x14ac:dyDescent="0.25">
      <c r="A1543" s="35" t="s">
        <v>1852</v>
      </c>
      <c r="B1543" s="18" t="s">
        <v>37</v>
      </c>
      <c r="C1543" s="76"/>
      <c r="D1543" s="43" t="s">
        <v>6970</v>
      </c>
      <c r="E1543" s="78"/>
      <c r="F1543" s="36"/>
      <c r="G1543" s="80"/>
      <c r="H1543" s="80"/>
      <c r="I1543" s="36" t="s">
        <v>789</v>
      </c>
      <c r="J1543" s="34" t="s">
        <v>6959</v>
      </c>
      <c r="K1543" s="37" t="s">
        <v>1253</v>
      </c>
      <c r="L1543" s="38">
        <v>41941</v>
      </c>
      <c r="M1543" s="39">
        <v>42031</v>
      </c>
      <c r="N1543" s="42">
        <v>64932.49</v>
      </c>
      <c r="O1543" s="85">
        <v>42033</v>
      </c>
      <c r="P1543" s="86">
        <v>42033</v>
      </c>
      <c r="Q1543" s="41"/>
      <c r="R1543" s="41">
        <v>64932.49</v>
      </c>
      <c r="S1543" s="80"/>
      <c r="T1543" s="81"/>
      <c r="U1543" s="80"/>
      <c r="V1543" s="80"/>
      <c r="W1543" s="42"/>
      <c r="X1543" s="42"/>
      <c r="Y1543" s="34" t="s">
        <v>4321</v>
      </c>
      <c r="Z1543" s="19" t="s">
        <v>7038</v>
      </c>
      <c r="AA1543" s="28" t="s">
        <v>8232</v>
      </c>
      <c r="AB1543" s="56">
        <v>43431</v>
      </c>
      <c r="AC1543" s="28" t="s">
        <v>8233</v>
      </c>
      <c r="AD1543" s="28" t="s">
        <v>8234</v>
      </c>
      <c r="AE1543" s="54" t="s">
        <v>8247</v>
      </c>
      <c r="AF1543" s="54"/>
      <c r="AG1543" s="54" t="s">
        <v>5548</v>
      </c>
      <c r="AH1543" s="53" t="s">
        <v>1591</v>
      </c>
      <c r="AI1543" s="53" t="s">
        <v>2686</v>
      </c>
      <c r="AJ1543" s="53" t="s">
        <v>1591</v>
      </c>
    </row>
    <row r="1544" spans="1:36" s="3" customFormat="1" ht="36" x14ac:dyDescent="0.25">
      <c r="A1544" s="17" t="s">
        <v>1827</v>
      </c>
      <c r="B1544" s="18" t="s">
        <v>37</v>
      </c>
      <c r="C1544" s="19" t="s">
        <v>3599</v>
      </c>
      <c r="D1544" s="45" t="s">
        <v>1836</v>
      </c>
      <c r="E1544" s="50"/>
      <c r="F1544" s="58"/>
      <c r="G1544" s="51"/>
      <c r="H1544" s="51"/>
      <c r="I1544" s="50" t="s">
        <v>1837</v>
      </c>
      <c r="J1544" s="58" t="s">
        <v>1838</v>
      </c>
      <c r="K1544" s="52" t="s">
        <v>555</v>
      </c>
      <c r="L1544" s="59">
        <v>42390</v>
      </c>
      <c r="M1544" s="60">
        <f>L1544+360</f>
        <v>42750</v>
      </c>
      <c r="N1544" s="51">
        <v>3691191.16</v>
      </c>
      <c r="O1544" s="59" t="s">
        <v>1319</v>
      </c>
      <c r="P1544" s="59"/>
      <c r="Q1544" s="51">
        <v>768019.62</v>
      </c>
      <c r="R1544" s="51">
        <f>N1544+Q1544</f>
        <v>4459210.78</v>
      </c>
      <c r="S1544" s="51"/>
      <c r="T1544" s="52" t="s">
        <v>52</v>
      </c>
      <c r="U1544" s="51"/>
      <c r="V1544" s="51"/>
      <c r="W1544" s="51"/>
      <c r="X1544" s="51">
        <v>1453488.62</v>
      </c>
      <c r="Y1544" s="19" t="s">
        <v>1319</v>
      </c>
      <c r="Z1544" s="19"/>
      <c r="AA1544" s="28"/>
      <c r="AB1544" s="56"/>
      <c r="AC1544" s="28"/>
      <c r="AD1544" s="28"/>
      <c r="AE1544" s="54"/>
      <c r="AF1544" s="54"/>
      <c r="AG1544" s="54"/>
      <c r="AH1544" s="53"/>
      <c r="AI1544" s="53" t="s">
        <v>1591</v>
      </c>
      <c r="AJ1544" s="53" t="s">
        <v>1591</v>
      </c>
    </row>
    <row r="1545" spans="1:36" s="3" customFormat="1" ht="36" x14ac:dyDescent="0.25">
      <c r="A1545" s="17" t="s">
        <v>1827</v>
      </c>
      <c r="B1545" s="18" t="s">
        <v>37</v>
      </c>
      <c r="C1545" s="19" t="s">
        <v>3596</v>
      </c>
      <c r="D1545" s="45" t="s">
        <v>1828</v>
      </c>
      <c r="E1545" s="50" t="s">
        <v>3877</v>
      </c>
      <c r="F1545" s="58" t="s">
        <v>1659</v>
      </c>
      <c r="G1545" s="51">
        <v>1892512.35</v>
      </c>
      <c r="H1545" s="51">
        <v>195399.18</v>
      </c>
      <c r="I1545" s="50" t="s">
        <v>1818</v>
      </c>
      <c r="J1545" s="58" t="s">
        <v>1829</v>
      </c>
      <c r="K1545" s="52" t="s">
        <v>2755</v>
      </c>
      <c r="L1545" s="59">
        <v>41134</v>
      </c>
      <c r="M1545" s="60">
        <f>L1545+210</f>
        <v>41344</v>
      </c>
      <c r="N1545" s="51">
        <v>1747822.59</v>
      </c>
      <c r="O1545" s="59" t="s">
        <v>133</v>
      </c>
      <c r="P1545" s="59"/>
      <c r="Q1545" s="51">
        <v>63941.78</v>
      </c>
      <c r="R1545" s="51">
        <f>N1545+Q1545</f>
        <v>1811764.37</v>
      </c>
      <c r="S1545" s="51">
        <v>478685.52</v>
      </c>
      <c r="T1545" s="52" t="s">
        <v>52</v>
      </c>
      <c r="U1545" s="51">
        <v>53729.9</v>
      </c>
      <c r="V1545" s="51">
        <v>53729.9</v>
      </c>
      <c r="W1545" s="51">
        <v>53729.9</v>
      </c>
      <c r="X1545" s="51">
        <v>1593423.18</v>
      </c>
      <c r="Y1545" s="19" t="s">
        <v>133</v>
      </c>
      <c r="Z1545" s="19"/>
      <c r="AA1545" s="28"/>
      <c r="AB1545" s="56"/>
      <c r="AC1545" s="28"/>
      <c r="AD1545" s="28"/>
      <c r="AE1545" s="54"/>
      <c r="AF1545" s="54"/>
      <c r="AG1545" s="54"/>
      <c r="AH1545" s="53"/>
      <c r="AI1545" s="53" t="s">
        <v>1591</v>
      </c>
      <c r="AJ1545" s="53" t="s">
        <v>1591</v>
      </c>
    </row>
    <row r="1546" spans="1:36" s="3" customFormat="1" ht="36" x14ac:dyDescent="0.25">
      <c r="A1546" s="17" t="s">
        <v>1827</v>
      </c>
      <c r="B1546" s="18" t="s">
        <v>37</v>
      </c>
      <c r="C1546" s="76" t="s">
        <v>6971</v>
      </c>
      <c r="D1546" s="45" t="s">
        <v>6972</v>
      </c>
      <c r="E1546" s="78"/>
      <c r="F1546" s="79"/>
      <c r="G1546" s="80"/>
      <c r="H1546" s="80"/>
      <c r="I1546" s="78" t="s">
        <v>233</v>
      </c>
      <c r="J1546" s="79" t="s">
        <v>6973</v>
      </c>
      <c r="K1546" s="81" t="s">
        <v>1788</v>
      </c>
      <c r="L1546" s="82">
        <v>42251</v>
      </c>
      <c r="M1546" s="83">
        <v>42611</v>
      </c>
      <c r="N1546" s="80">
        <v>1354736.13</v>
      </c>
      <c r="O1546" s="82" t="s">
        <v>1319</v>
      </c>
      <c r="P1546" s="84" t="s">
        <v>6974</v>
      </c>
      <c r="Q1546" s="80">
        <v>0</v>
      </c>
      <c r="R1546" s="80">
        <v>1354736.13</v>
      </c>
      <c r="S1546" s="80"/>
      <c r="T1546" s="81" t="s">
        <v>52</v>
      </c>
      <c r="U1546" s="80">
        <v>40019.96</v>
      </c>
      <c r="V1546" s="80"/>
      <c r="W1546" s="80"/>
      <c r="X1546" s="80">
        <v>40019.96</v>
      </c>
      <c r="Y1546" s="76" t="s">
        <v>1319</v>
      </c>
      <c r="Z1546" s="19" t="s">
        <v>7038</v>
      </c>
      <c r="AA1546" s="28"/>
      <c r="AB1546" s="56"/>
      <c r="AC1546" s="28"/>
      <c r="AD1546" s="28"/>
      <c r="AE1546" s="54"/>
      <c r="AF1546" s="54"/>
      <c r="AG1546" s="54"/>
      <c r="AH1546" s="53"/>
      <c r="AI1546" s="53" t="s">
        <v>1591</v>
      </c>
      <c r="AJ1546" s="53" t="s">
        <v>1591</v>
      </c>
    </row>
    <row r="1547" spans="1:36" s="3" customFormat="1" ht="36" x14ac:dyDescent="0.25">
      <c r="A1547" s="17" t="s">
        <v>1827</v>
      </c>
      <c r="B1547" s="18" t="s">
        <v>37</v>
      </c>
      <c r="C1547" s="19" t="s">
        <v>3602</v>
      </c>
      <c r="D1547" s="45" t="s">
        <v>1844</v>
      </c>
      <c r="E1547" s="50" t="s">
        <v>3879</v>
      </c>
      <c r="F1547" s="58" t="s">
        <v>43</v>
      </c>
      <c r="G1547" s="51"/>
      <c r="H1547" s="51"/>
      <c r="I1547" s="50" t="s">
        <v>1845</v>
      </c>
      <c r="J1547" s="58" t="s">
        <v>1846</v>
      </c>
      <c r="K1547" s="52" t="s">
        <v>197</v>
      </c>
      <c r="L1547" s="59">
        <v>42451</v>
      </c>
      <c r="M1547" s="60">
        <f>L1547+360</f>
        <v>42811</v>
      </c>
      <c r="N1547" s="51">
        <v>1286606.71</v>
      </c>
      <c r="O1547" s="59" t="s">
        <v>1319</v>
      </c>
      <c r="P1547" s="59">
        <v>0</v>
      </c>
      <c r="Q1547" s="51"/>
      <c r="R1547" s="51">
        <f t="shared" ref="R1547:R1553" si="59">N1547+Q1547</f>
        <v>1286606.71</v>
      </c>
      <c r="S1547" s="51"/>
      <c r="T1547" s="52" t="s">
        <v>893</v>
      </c>
      <c r="U1547" s="51"/>
      <c r="V1547" s="51"/>
      <c r="W1547" s="51"/>
      <c r="X1547" s="51">
        <v>86368.61</v>
      </c>
      <c r="Y1547" s="19" t="s">
        <v>1319</v>
      </c>
      <c r="Z1547" s="19"/>
      <c r="AA1547" s="28"/>
      <c r="AB1547" s="56"/>
      <c r="AC1547" s="28"/>
      <c r="AD1547" s="28"/>
      <c r="AE1547" s="54"/>
      <c r="AF1547" s="54"/>
      <c r="AG1547" s="54"/>
      <c r="AH1547" s="53"/>
      <c r="AI1547" s="53" t="s">
        <v>1591</v>
      </c>
      <c r="AJ1547" s="53" t="s">
        <v>1591</v>
      </c>
    </row>
    <row r="1548" spans="1:36" s="3" customFormat="1" ht="48" x14ac:dyDescent="0.25">
      <c r="A1548" s="17" t="s">
        <v>1827</v>
      </c>
      <c r="B1548" s="18" t="s">
        <v>37</v>
      </c>
      <c r="C1548" s="19" t="s">
        <v>3603</v>
      </c>
      <c r="D1548" s="45" t="s">
        <v>1847</v>
      </c>
      <c r="E1548" s="50" t="s">
        <v>2436</v>
      </c>
      <c r="F1548" s="58" t="s">
        <v>3880</v>
      </c>
      <c r="G1548" s="51">
        <v>560000</v>
      </c>
      <c r="H1548" s="51">
        <v>294200.09999999998</v>
      </c>
      <c r="I1548" s="50" t="s">
        <v>1837</v>
      </c>
      <c r="J1548" s="58" t="s">
        <v>1838</v>
      </c>
      <c r="K1548" s="52" t="s">
        <v>557</v>
      </c>
      <c r="L1548" s="59">
        <v>42550</v>
      </c>
      <c r="M1548" s="60">
        <f>L1548+360</f>
        <v>42910</v>
      </c>
      <c r="N1548" s="51">
        <v>854200.1</v>
      </c>
      <c r="O1548" s="59" t="s">
        <v>133</v>
      </c>
      <c r="P1548" s="59"/>
      <c r="Q1548" s="51"/>
      <c r="R1548" s="51">
        <f t="shared" si="59"/>
        <v>854200.1</v>
      </c>
      <c r="S1548" s="51"/>
      <c r="T1548" s="52" t="s">
        <v>52</v>
      </c>
      <c r="U1548" s="51"/>
      <c r="V1548" s="51"/>
      <c r="W1548" s="51"/>
      <c r="X1548" s="51">
        <v>382021.43</v>
      </c>
      <c r="Y1548" s="19" t="s">
        <v>133</v>
      </c>
      <c r="Z1548" s="19"/>
      <c r="AA1548" s="28"/>
      <c r="AB1548" s="56"/>
      <c r="AC1548" s="28"/>
      <c r="AD1548" s="28"/>
      <c r="AE1548" s="54"/>
      <c r="AF1548" s="54"/>
      <c r="AG1548" s="54"/>
      <c r="AH1548" s="53"/>
      <c r="AI1548" s="53" t="s">
        <v>1591</v>
      </c>
      <c r="AJ1548" s="53" t="s">
        <v>1591</v>
      </c>
    </row>
    <row r="1549" spans="1:36" s="3" customFormat="1" ht="24" x14ac:dyDescent="0.25">
      <c r="A1549" s="17" t="s">
        <v>1827</v>
      </c>
      <c r="B1549" s="18" t="s">
        <v>37</v>
      </c>
      <c r="C1549" s="19" t="s">
        <v>3597</v>
      </c>
      <c r="D1549" s="45" t="s">
        <v>1831</v>
      </c>
      <c r="E1549" s="50" t="s">
        <v>3878</v>
      </c>
      <c r="F1549" s="58" t="s">
        <v>43</v>
      </c>
      <c r="G1549" s="51"/>
      <c r="H1549" s="51"/>
      <c r="I1549" s="50" t="s">
        <v>1146</v>
      </c>
      <c r="J1549" s="58" t="s">
        <v>1832</v>
      </c>
      <c r="K1549" s="52" t="s">
        <v>1833</v>
      </c>
      <c r="L1549" s="59">
        <v>42284</v>
      </c>
      <c r="M1549" s="60">
        <f>L1549+360</f>
        <v>42644</v>
      </c>
      <c r="N1549" s="51">
        <v>690733.14</v>
      </c>
      <c r="O1549" s="59" t="s">
        <v>1319</v>
      </c>
      <c r="P1549" s="59"/>
      <c r="Q1549" s="51">
        <v>27303.53</v>
      </c>
      <c r="R1549" s="51">
        <f t="shared" si="59"/>
        <v>718036.67</v>
      </c>
      <c r="S1549" s="51"/>
      <c r="T1549" s="52" t="s">
        <v>52</v>
      </c>
      <c r="U1549" s="51"/>
      <c r="V1549" s="51"/>
      <c r="W1549" s="51"/>
      <c r="X1549" s="51">
        <v>367336.3</v>
      </c>
      <c r="Y1549" s="19" t="s">
        <v>1319</v>
      </c>
      <c r="Z1549" s="19"/>
      <c r="AA1549" s="28"/>
      <c r="AB1549" s="56"/>
      <c r="AC1549" s="28"/>
      <c r="AD1549" s="28"/>
      <c r="AE1549" s="54"/>
      <c r="AF1549" s="54"/>
      <c r="AG1549" s="54"/>
      <c r="AH1549" s="53"/>
      <c r="AI1549" s="53" t="s">
        <v>1591</v>
      </c>
      <c r="AJ1549" s="53" t="s">
        <v>1591</v>
      </c>
    </row>
    <row r="1550" spans="1:36" s="3" customFormat="1" ht="24" x14ac:dyDescent="0.25">
      <c r="A1550" s="17" t="s">
        <v>1827</v>
      </c>
      <c r="B1550" s="18" t="s">
        <v>37</v>
      </c>
      <c r="C1550" s="19" t="s">
        <v>3604</v>
      </c>
      <c r="D1550" s="45" t="s">
        <v>1848</v>
      </c>
      <c r="E1550" s="50"/>
      <c r="F1550" s="58"/>
      <c r="G1550" s="51"/>
      <c r="H1550" s="51"/>
      <c r="I1550" s="50" t="s">
        <v>1849</v>
      </c>
      <c r="J1550" s="58" t="s">
        <v>1850</v>
      </c>
      <c r="K1550" s="52" t="s">
        <v>635</v>
      </c>
      <c r="L1550" s="59">
        <v>42403</v>
      </c>
      <c r="M1550" s="60">
        <f>L1550+360</f>
        <v>42763</v>
      </c>
      <c r="N1550" s="51">
        <v>574641.43999999994</v>
      </c>
      <c r="O1550" s="59" t="s">
        <v>3918</v>
      </c>
      <c r="P1550" s="59">
        <v>0</v>
      </c>
      <c r="Q1550" s="51"/>
      <c r="R1550" s="51">
        <f t="shared" si="59"/>
        <v>574641.43999999994</v>
      </c>
      <c r="S1550" s="51"/>
      <c r="T1550" s="52" t="s">
        <v>52</v>
      </c>
      <c r="U1550" s="51"/>
      <c r="V1550" s="51"/>
      <c r="W1550" s="51"/>
      <c r="X1550" s="51">
        <v>76723.08</v>
      </c>
      <c r="Y1550" s="19" t="s">
        <v>1319</v>
      </c>
      <c r="Z1550" s="19"/>
      <c r="AA1550" s="28"/>
      <c r="AB1550" s="56"/>
      <c r="AC1550" s="28"/>
      <c r="AD1550" s="28"/>
      <c r="AE1550" s="54"/>
      <c r="AF1550" s="54"/>
      <c r="AG1550" s="54"/>
      <c r="AH1550" s="53"/>
      <c r="AI1550" s="53" t="s">
        <v>1591</v>
      </c>
      <c r="AJ1550" s="53" t="s">
        <v>1591</v>
      </c>
    </row>
    <row r="1551" spans="1:36" s="3" customFormat="1" ht="36" x14ac:dyDescent="0.25">
      <c r="A1551" s="17" t="s">
        <v>1827</v>
      </c>
      <c r="B1551" s="18" t="s">
        <v>37</v>
      </c>
      <c r="C1551" s="19" t="s">
        <v>3598</v>
      </c>
      <c r="D1551" s="45" t="s">
        <v>1834</v>
      </c>
      <c r="E1551" s="50"/>
      <c r="F1551" s="58"/>
      <c r="G1551" s="51"/>
      <c r="H1551" s="51"/>
      <c r="I1551" s="50" t="s">
        <v>153</v>
      </c>
      <c r="J1551" s="58" t="s">
        <v>1830</v>
      </c>
      <c r="K1551" s="52" t="s">
        <v>965</v>
      </c>
      <c r="L1551" s="59">
        <v>42195</v>
      </c>
      <c r="M1551" s="60">
        <f>L1551+180</f>
        <v>42375</v>
      </c>
      <c r="N1551" s="51">
        <v>501910.14</v>
      </c>
      <c r="O1551" s="59" t="s">
        <v>1319</v>
      </c>
      <c r="P1551" s="59"/>
      <c r="Q1551" s="51"/>
      <c r="R1551" s="51">
        <f t="shared" si="59"/>
        <v>501910.14</v>
      </c>
      <c r="S1551" s="51"/>
      <c r="T1551" s="52" t="s">
        <v>1835</v>
      </c>
      <c r="U1551" s="51"/>
      <c r="V1551" s="51"/>
      <c r="W1551" s="51"/>
      <c r="X1551" s="51">
        <v>257038.62</v>
      </c>
      <c r="Y1551" s="19" t="s">
        <v>1319</v>
      </c>
      <c r="Z1551" s="19"/>
      <c r="AA1551" s="28"/>
      <c r="AB1551" s="56"/>
      <c r="AC1551" s="28"/>
      <c r="AD1551" s="28"/>
      <c r="AE1551" s="54"/>
      <c r="AF1551" s="54"/>
      <c r="AG1551" s="54"/>
      <c r="AH1551" s="53"/>
      <c r="AI1551" s="53" t="s">
        <v>1591</v>
      </c>
      <c r="AJ1551" s="53" t="s">
        <v>1591</v>
      </c>
    </row>
    <row r="1552" spans="1:36" s="3" customFormat="1" ht="36" x14ac:dyDescent="0.25">
      <c r="A1552" s="17" t="s">
        <v>1827</v>
      </c>
      <c r="B1552" s="18" t="s">
        <v>37</v>
      </c>
      <c r="C1552" s="19" t="s">
        <v>3600</v>
      </c>
      <c r="D1552" s="45" t="s">
        <v>1839</v>
      </c>
      <c r="E1552" s="50"/>
      <c r="F1552" s="58"/>
      <c r="G1552" s="51"/>
      <c r="H1552" s="51"/>
      <c r="I1552" s="50" t="s">
        <v>1840</v>
      </c>
      <c r="J1552" s="58" t="s">
        <v>1841</v>
      </c>
      <c r="K1552" s="52" t="s">
        <v>334</v>
      </c>
      <c r="L1552" s="59">
        <v>42390</v>
      </c>
      <c r="M1552" s="60">
        <f>L1552+180</f>
        <v>42570</v>
      </c>
      <c r="N1552" s="51">
        <v>488370.57</v>
      </c>
      <c r="O1552" s="59" t="s">
        <v>844</v>
      </c>
      <c r="P1552" s="59"/>
      <c r="Q1552" s="51"/>
      <c r="R1552" s="51">
        <f t="shared" si="59"/>
        <v>488370.57</v>
      </c>
      <c r="S1552" s="51"/>
      <c r="T1552" s="52" t="s">
        <v>52</v>
      </c>
      <c r="U1552" s="51"/>
      <c r="V1552" s="51"/>
      <c r="W1552" s="51"/>
      <c r="X1552" s="51">
        <v>185298.25</v>
      </c>
      <c r="Y1552" s="19" t="s">
        <v>3949</v>
      </c>
      <c r="Z1552" s="19"/>
      <c r="AA1552" s="28"/>
      <c r="AB1552" s="56"/>
      <c r="AC1552" s="28"/>
      <c r="AD1552" s="28"/>
      <c r="AE1552" s="54"/>
      <c r="AF1552" s="54"/>
      <c r="AG1552" s="54"/>
      <c r="AH1552" s="53"/>
      <c r="AI1552" s="53" t="s">
        <v>1591</v>
      </c>
      <c r="AJ1552" s="53" t="s">
        <v>1591</v>
      </c>
    </row>
    <row r="1553" spans="1:36" s="3" customFormat="1" ht="36" x14ac:dyDescent="0.25">
      <c r="A1553" s="17" t="s">
        <v>1827</v>
      </c>
      <c r="B1553" s="18" t="s">
        <v>37</v>
      </c>
      <c r="C1553" s="19" t="s">
        <v>3601</v>
      </c>
      <c r="D1553" s="45" t="s">
        <v>1842</v>
      </c>
      <c r="E1553" s="50"/>
      <c r="F1553" s="58"/>
      <c r="G1553" s="51"/>
      <c r="H1553" s="51"/>
      <c r="I1553" s="50" t="s">
        <v>859</v>
      </c>
      <c r="J1553" s="58" t="s">
        <v>1843</v>
      </c>
      <c r="K1553" s="52" t="s">
        <v>547</v>
      </c>
      <c r="L1553" s="59">
        <v>42527</v>
      </c>
      <c r="M1553" s="60">
        <f>L1553+180</f>
        <v>42707</v>
      </c>
      <c r="N1553" s="51">
        <v>94594.86</v>
      </c>
      <c r="O1553" s="59" t="s">
        <v>844</v>
      </c>
      <c r="P1553" s="59">
        <v>0</v>
      </c>
      <c r="Q1553" s="51"/>
      <c r="R1553" s="51">
        <f t="shared" si="59"/>
        <v>94594.86</v>
      </c>
      <c r="S1553" s="51"/>
      <c r="T1553" s="52" t="s">
        <v>52</v>
      </c>
      <c r="U1553" s="51"/>
      <c r="V1553" s="51"/>
      <c r="W1553" s="51"/>
      <c r="X1553" s="51">
        <v>75454.47</v>
      </c>
      <c r="Y1553" s="19" t="s">
        <v>3949</v>
      </c>
      <c r="Z1553" s="19"/>
      <c r="AA1553" s="28"/>
      <c r="AB1553" s="56"/>
      <c r="AC1553" s="28"/>
      <c r="AD1553" s="28"/>
      <c r="AE1553" s="54"/>
      <c r="AF1553" s="54"/>
      <c r="AG1553" s="54"/>
      <c r="AH1553" s="53"/>
      <c r="AI1553" s="53" t="s">
        <v>1591</v>
      </c>
      <c r="AJ1553" s="53" t="s">
        <v>1591</v>
      </c>
    </row>
    <row r="1554" spans="1:36" s="3" customFormat="1" ht="36" x14ac:dyDescent="0.25">
      <c r="A1554" s="17" t="s">
        <v>2841</v>
      </c>
      <c r="B1554" s="18" t="s">
        <v>37</v>
      </c>
      <c r="C1554" s="19" t="s">
        <v>5555</v>
      </c>
      <c r="D1554" s="45" t="s">
        <v>5556</v>
      </c>
      <c r="E1554" s="50" t="s">
        <v>84</v>
      </c>
      <c r="F1554" s="58" t="s">
        <v>5554</v>
      </c>
      <c r="G1554" s="51">
        <v>183002.58</v>
      </c>
      <c r="H1554" s="51"/>
      <c r="I1554" s="50" t="s">
        <v>4833</v>
      </c>
      <c r="J1554" s="58" t="s">
        <v>5557</v>
      </c>
      <c r="K1554" s="52" t="s">
        <v>5318</v>
      </c>
      <c r="L1554" s="59">
        <v>42004</v>
      </c>
      <c r="M1554" s="60">
        <v>42184</v>
      </c>
      <c r="N1554" s="51">
        <v>141670.66</v>
      </c>
      <c r="O1554" s="59">
        <v>43178</v>
      </c>
      <c r="P1554" s="59">
        <f>M1554+1050</f>
        <v>43234</v>
      </c>
      <c r="Q1554" s="51">
        <v>9006.65</v>
      </c>
      <c r="R1554" s="51">
        <f>N1554+Q1554</f>
        <v>150677.31</v>
      </c>
      <c r="S1554" s="51">
        <v>9006.65</v>
      </c>
      <c r="T1554" s="52" t="s">
        <v>52</v>
      </c>
      <c r="U1554" s="51">
        <v>106748.52</v>
      </c>
      <c r="V1554" s="51"/>
      <c r="W1554" s="51"/>
      <c r="X1554" s="51">
        <v>106748.52</v>
      </c>
      <c r="Y1554" s="19" t="s">
        <v>330</v>
      </c>
      <c r="Z1554" s="45" t="s">
        <v>8388</v>
      </c>
      <c r="AA1554" s="28" t="s">
        <v>8389</v>
      </c>
      <c r="AB1554" s="56">
        <v>43403</v>
      </c>
      <c r="AC1554" s="28" t="s">
        <v>8390</v>
      </c>
      <c r="AD1554" s="28" t="s">
        <v>8391</v>
      </c>
      <c r="AE1554" s="54"/>
      <c r="AF1554" s="54"/>
      <c r="AG1554" s="54" t="s">
        <v>8392</v>
      </c>
      <c r="AH1554" s="53" t="s">
        <v>1591</v>
      </c>
      <c r="AI1554" s="53" t="s">
        <v>2686</v>
      </c>
      <c r="AJ1554" s="53" t="s">
        <v>1591</v>
      </c>
    </row>
    <row r="1555" spans="1:36" s="4" customFormat="1" ht="15" outlineLevel="1" x14ac:dyDescent="0.25">
      <c r="A1555" s="8"/>
      <c r="B1555" s="9"/>
      <c r="C1555" s="10"/>
      <c r="D1555" s="11" t="s">
        <v>28</v>
      </c>
      <c r="E1555" s="12"/>
      <c r="F1555" s="13"/>
      <c r="G1555" s="14">
        <f>SUBTOTAL(9,G7:G1554)</f>
        <v>5717399036.2579956</v>
      </c>
      <c r="H1555" s="14">
        <f>SUBTOTAL(9,H7:H1554)</f>
        <v>1158456595.8520014</v>
      </c>
      <c r="I1555" s="12"/>
      <c r="J1555" s="13"/>
      <c r="K1555" s="15"/>
      <c r="L1555" s="16"/>
      <c r="M1555" s="26"/>
      <c r="N1555" s="14">
        <f>SUBTOTAL(9,N7:N1554)</f>
        <v>5978981101.7229996</v>
      </c>
      <c r="O1555" s="16"/>
      <c r="P1555" s="75"/>
      <c r="Q1555" s="14">
        <f>SUBTOTAL(9,Q7:Q1554)</f>
        <v>1180761349.6967788</v>
      </c>
      <c r="R1555" s="14">
        <f>SUBTOTAL(9,R7:R1554)</f>
        <v>7247426135.499773</v>
      </c>
      <c r="S1555" s="14">
        <f>SUBTOTAL(9,S7:S1554)</f>
        <v>146397550.2093977</v>
      </c>
      <c r="T1555" s="15"/>
      <c r="U1555" s="14">
        <f>SUBTOTAL(9,U7:U1554)</f>
        <v>996406310.52908909</v>
      </c>
      <c r="V1555" s="14">
        <f>SUBTOTAL(9,V7:V1554)</f>
        <v>118071545.65000008</v>
      </c>
      <c r="W1555" s="14">
        <f>SUBTOTAL(9,W7:W1554)</f>
        <v>160063449.2599999</v>
      </c>
      <c r="X1555" s="14">
        <f>SUBTOTAL(9,X7:X1554)</f>
        <v>2380177573.1090865</v>
      </c>
      <c r="Y1555" s="10"/>
      <c r="Z1555" s="10"/>
      <c r="AA1555" s="48"/>
      <c r="AB1555" s="57"/>
      <c r="AC1555" s="48"/>
      <c r="AD1555" s="48"/>
      <c r="AE1555" s="49"/>
      <c r="AF1555" s="63"/>
      <c r="AG1555" s="49" t="s">
        <v>2890</v>
      </c>
      <c r="AH1555" s="55">
        <f>SUMIF(AH$7:AH$1554,"x",$R$7:$R$1554)</f>
        <v>4469918259.3897791</v>
      </c>
      <c r="AI1555" s="55">
        <f>SUMIF(AI$7:AI$1554,"x",$R$7:$R$1554)</f>
        <v>2777507876.1100073</v>
      </c>
      <c r="AJ1555" s="55">
        <f>SUMIF(AJ$7:AJ$1554,"x",$R$7:$R$1554)</f>
        <v>7247426135.499773</v>
      </c>
    </row>
    <row r="1556" spans="1:36" x14ac:dyDescent="0.25">
      <c r="AB1556" s="1"/>
      <c r="AC1556" s="44"/>
      <c r="AD1556" s="44"/>
      <c r="AF1556" s="1"/>
      <c r="AG1556" s="1"/>
    </row>
    <row r="1557" spans="1:36" x14ac:dyDescent="0.25">
      <c r="AB1557" s="1"/>
      <c r="AC1557" s="44"/>
      <c r="AD1557" s="44"/>
      <c r="AF1557" s="1"/>
      <c r="AG1557" s="1"/>
    </row>
    <row r="1558" spans="1:36" x14ac:dyDescent="0.25">
      <c r="AB1558" s="1"/>
      <c r="AC1558" s="44"/>
      <c r="AD1558" s="44"/>
      <c r="AF1558" s="1"/>
      <c r="AG1558" s="1"/>
    </row>
    <row r="1559" spans="1:36" x14ac:dyDescent="0.25">
      <c r="AB1559" s="1"/>
      <c r="AC1559" s="44"/>
      <c r="AD1559" s="44"/>
      <c r="AF1559" s="1"/>
      <c r="AG1559" s="1"/>
    </row>
    <row r="1560" spans="1:36" x14ac:dyDescent="0.25">
      <c r="AB1560" s="1"/>
      <c r="AC1560" s="44"/>
      <c r="AD1560" s="44"/>
      <c r="AF1560" s="1"/>
      <c r="AG1560" s="1"/>
    </row>
    <row r="1561" spans="1:36" x14ac:dyDescent="0.25">
      <c r="AB1561" s="1"/>
      <c r="AC1561" s="44"/>
      <c r="AD1561" s="44"/>
      <c r="AF1561" s="1"/>
      <c r="AG1561" s="1"/>
    </row>
  </sheetData>
  <sheetProtection autoFilter="0"/>
  <autoFilter ref="A6:AJ1555"/>
  <sortState ref="A1640:EO4970">
    <sortCondition ref="A1640:A4970"/>
    <sortCondition ref="B1640:B4970"/>
    <sortCondition descending="1" ref="R1640:R4970"/>
  </sortState>
  <mergeCells count="20">
    <mergeCell ref="AF5:AF6"/>
    <mergeCell ref="AA4:AI4"/>
    <mergeCell ref="Z5:Z6"/>
    <mergeCell ref="AE5:AE6"/>
    <mergeCell ref="AG5:AH5"/>
    <mergeCell ref="AA5:AD5"/>
    <mergeCell ref="A2:I2"/>
    <mergeCell ref="A3:I3"/>
    <mergeCell ref="A5:A6"/>
    <mergeCell ref="B5:B6"/>
    <mergeCell ref="C4:Y4"/>
    <mergeCell ref="I5:J5"/>
    <mergeCell ref="K5:O5"/>
    <mergeCell ref="E5:H5"/>
    <mergeCell ref="T5:X5"/>
    <mergeCell ref="C5:C6"/>
    <mergeCell ref="D5:D6"/>
    <mergeCell ref="S5:S6"/>
    <mergeCell ref="P5:R5"/>
    <mergeCell ref="Y5:Y6"/>
  </mergeCells>
  <conditionalFormatting sqref="K390">
    <cfRule type="duplicateValues" dxfId="36" priority="56"/>
  </conditionalFormatting>
  <conditionalFormatting sqref="N390">
    <cfRule type="duplicateValues" dxfId="35" priority="57"/>
  </conditionalFormatting>
  <conditionalFormatting sqref="K1378">
    <cfRule type="duplicateValues" dxfId="34" priority="40"/>
  </conditionalFormatting>
  <conditionalFormatting sqref="N1378">
    <cfRule type="duplicateValues" dxfId="33" priority="41"/>
  </conditionalFormatting>
  <conditionalFormatting sqref="K1379">
    <cfRule type="duplicateValues" dxfId="32" priority="36"/>
  </conditionalFormatting>
  <conditionalFormatting sqref="N1379">
    <cfRule type="duplicateValues" dxfId="31" priority="37"/>
  </conditionalFormatting>
  <conditionalFormatting sqref="K1405">
    <cfRule type="duplicateValues" dxfId="30" priority="30"/>
  </conditionalFormatting>
  <conditionalFormatting sqref="N1405">
    <cfRule type="duplicateValues" dxfId="29" priority="31"/>
  </conditionalFormatting>
  <conditionalFormatting sqref="K1404">
    <cfRule type="duplicateValues" dxfId="28" priority="28"/>
  </conditionalFormatting>
  <conditionalFormatting sqref="N1404">
    <cfRule type="duplicateValues" dxfId="27" priority="29"/>
  </conditionalFormatting>
  <conditionalFormatting sqref="K1403">
    <cfRule type="duplicateValues" dxfId="26" priority="26"/>
  </conditionalFormatting>
  <conditionalFormatting sqref="N1403">
    <cfRule type="duplicateValues" dxfId="25" priority="27"/>
  </conditionalFormatting>
  <conditionalFormatting sqref="K1402">
    <cfRule type="duplicateValues" dxfId="24" priority="24"/>
  </conditionalFormatting>
  <conditionalFormatting sqref="N1402">
    <cfRule type="duplicateValues" dxfId="23" priority="25"/>
  </conditionalFormatting>
  <conditionalFormatting sqref="K1401">
    <cfRule type="duplicateValues" dxfId="22" priority="22"/>
  </conditionalFormatting>
  <conditionalFormatting sqref="N1401">
    <cfRule type="duplicateValues" dxfId="21" priority="23"/>
  </conditionalFormatting>
  <conditionalFormatting sqref="K1442">
    <cfRule type="duplicateValues" dxfId="20" priority="20"/>
  </conditionalFormatting>
  <conditionalFormatting sqref="N1442">
    <cfRule type="duplicateValues" dxfId="19" priority="21"/>
  </conditionalFormatting>
  <conditionalFormatting sqref="N1459">
    <cfRule type="duplicateValues" dxfId="18" priority="11"/>
  </conditionalFormatting>
  <conditionalFormatting sqref="K1459">
    <cfRule type="duplicateValues" dxfId="17" priority="10"/>
  </conditionalFormatting>
  <conditionalFormatting sqref="N1341">
    <cfRule type="duplicateValues" dxfId="16" priority="7"/>
  </conditionalFormatting>
  <conditionalFormatting sqref="K1341">
    <cfRule type="duplicateValues" dxfId="15" priority="6"/>
  </conditionalFormatting>
  <conditionalFormatting sqref="K107">
    <cfRule type="duplicateValues" dxfId="14" priority="1"/>
  </conditionalFormatting>
  <conditionalFormatting sqref="N107">
    <cfRule type="duplicateValues" dxfId="13" priority="2"/>
  </conditionalFormatting>
  <conditionalFormatting sqref="K1554">
    <cfRule type="duplicateValues" dxfId="12" priority="1578"/>
  </conditionalFormatting>
  <conditionalFormatting sqref="N1554">
    <cfRule type="duplicateValues" dxfId="11" priority="1579"/>
  </conditionalFormatting>
  <conditionalFormatting sqref="K1393:K1400">
    <cfRule type="duplicateValues" dxfId="10" priority="2217"/>
  </conditionalFormatting>
  <conditionalFormatting sqref="N1393:N1400">
    <cfRule type="duplicateValues" dxfId="9" priority="2219"/>
  </conditionalFormatting>
  <conditionalFormatting sqref="K469:K475">
    <cfRule type="duplicateValues" dxfId="8" priority="2878"/>
  </conditionalFormatting>
  <conditionalFormatting sqref="N469:N475">
    <cfRule type="duplicateValues" dxfId="7" priority="2880"/>
  </conditionalFormatting>
  <conditionalFormatting sqref="K1537:K1553">
    <cfRule type="duplicateValues" dxfId="6" priority="2894"/>
  </conditionalFormatting>
  <conditionalFormatting sqref="N1537:N1553">
    <cfRule type="duplicateValues" dxfId="5" priority="2895"/>
  </conditionalFormatting>
  <conditionalFormatting sqref="K1460:K1509 K1443:K1458 K1406:K1441 K1380:K1392 K1312:K1340 K1342:K1377">
    <cfRule type="duplicateValues" dxfId="4" priority="2904"/>
  </conditionalFormatting>
  <conditionalFormatting sqref="N1460:N1513 N1443:N1458 N1406:N1441 N1380:N1392 N1306:N1340 N1342:N1377">
    <cfRule type="duplicateValues" dxfId="3" priority="2911"/>
  </conditionalFormatting>
  <conditionalFormatting sqref="C1207:C1269">
    <cfRule type="duplicateValues" dxfId="2" priority="3032"/>
  </conditionalFormatting>
  <conditionalFormatting sqref="K476:K1305 K42:K106 K391:K468 K108:K389">
    <cfRule type="duplicateValues" dxfId="1" priority="4345"/>
  </conditionalFormatting>
  <conditionalFormatting sqref="N476:N1305 N7:N106 N391:N468 N108:N389">
    <cfRule type="duplicateValues" dxfId="0" priority="4350"/>
  </conditionalFormatting>
  <pageMargins left="0.51181102362204722" right="0.51181102362204722" top="0.78740157480314965" bottom="0.78740157480314965" header="0.31496062992125984" footer="0.31496062992125984"/>
  <pageSetup paperSize="9" scale="1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0"/>
  <sheetViews>
    <sheetView workbookViewId="0">
      <pane xSplit="2" ySplit="5" topLeftCell="C204" activePane="bottomRight" state="frozen"/>
      <selection pane="topRight" activeCell="C1" sqref="C1"/>
      <selection pane="bottomLeft" activeCell="A6" sqref="A6"/>
      <selection pane="bottomRight" activeCell="I210" sqref="I210"/>
    </sheetView>
  </sheetViews>
  <sheetFormatPr defaultRowHeight="15" x14ac:dyDescent="0.25"/>
  <cols>
    <col min="1" max="1" width="23.28515625" style="1" bestFit="1" customWidth="1"/>
    <col min="2" max="2" width="58" style="1" bestFit="1" customWidth="1"/>
    <col min="3" max="3" width="11.85546875" style="31" customWidth="1"/>
    <col min="4" max="5" width="16.85546875" style="31" bestFit="1" customWidth="1"/>
    <col min="6" max="6" width="11.85546875" style="31" customWidth="1"/>
    <col min="7" max="8" width="16.85546875" style="31" bestFit="1" customWidth="1"/>
    <col min="9" max="9" width="11.85546875" style="31" customWidth="1"/>
    <col min="10" max="11" width="16.85546875" style="31" bestFit="1" customWidth="1"/>
    <col min="12" max="16384" width="9.140625" style="31"/>
  </cols>
  <sheetData>
    <row r="1" spans="1:16384" customFormat="1" ht="63"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c r="XFC1" s="31"/>
      <c r="XFD1" s="31"/>
    </row>
    <row r="2" spans="1:16384" customFormat="1" ht="18.75" x14ac:dyDescent="0.25">
      <c r="B2" s="64" t="s">
        <v>8527</v>
      </c>
    </row>
    <row r="3" spans="1:16384" customFormat="1" ht="15.75" x14ac:dyDescent="0.3">
      <c r="B3" s="31" t="s">
        <v>8552</v>
      </c>
    </row>
    <row r="4" spans="1:16384" ht="34.5" customHeight="1" x14ac:dyDescent="0.25">
      <c r="C4" s="143" t="s">
        <v>8529</v>
      </c>
      <c r="D4" s="143"/>
      <c r="E4" s="143"/>
      <c r="F4" s="143" t="s">
        <v>8530</v>
      </c>
      <c r="G4" s="143"/>
      <c r="H4" s="143"/>
      <c r="I4" s="143" t="s">
        <v>8531</v>
      </c>
      <c r="J4" s="143"/>
      <c r="K4" s="143"/>
    </row>
    <row r="5" spans="1:16384" ht="24" x14ac:dyDescent="0.25">
      <c r="A5" s="62" t="s">
        <v>21</v>
      </c>
      <c r="B5" s="62" t="s">
        <v>22</v>
      </c>
      <c r="C5" s="61" t="s">
        <v>2681</v>
      </c>
      <c r="D5" s="61" t="s">
        <v>2682</v>
      </c>
      <c r="E5" s="61" t="s">
        <v>2683</v>
      </c>
      <c r="F5" s="108" t="s">
        <v>2681</v>
      </c>
      <c r="G5" s="108" t="s">
        <v>2682</v>
      </c>
      <c r="H5" s="108" t="s">
        <v>2683</v>
      </c>
      <c r="I5" s="108" t="s">
        <v>2681</v>
      </c>
      <c r="J5" s="108" t="s">
        <v>2682</v>
      </c>
      <c r="K5" s="108" t="s">
        <v>2683</v>
      </c>
    </row>
    <row r="6" spans="1:16384" x14ac:dyDescent="0.25">
      <c r="A6" s="18" t="s">
        <v>182</v>
      </c>
      <c r="B6" s="18" t="s">
        <v>2913</v>
      </c>
      <c r="C6" s="32">
        <v>2</v>
      </c>
      <c r="D6" s="47">
        <v>28416760.690000001</v>
      </c>
      <c r="E6" s="47">
        <v>26351804.109999999</v>
      </c>
      <c r="F6" s="32">
        <v>0</v>
      </c>
      <c r="G6" s="47">
        <v>0</v>
      </c>
      <c r="H6" s="47">
        <v>0</v>
      </c>
      <c r="I6" s="32">
        <v>2</v>
      </c>
      <c r="J6" s="47">
        <v>28416760.690000001</v>
      </c>
      <c r="K6" s="47">
        <v>26351804.109999999</v>
      </c>
    </row>
    <row r="7" spans="1:16384" x14ac:dyDescent="0.25">
      <c r="A7" s="18" t="s">
        <v>182</v>
      </c>
      <c r="B7" s="18" t="s">
        <v>2309</v>
      </c>
      <c r="C7" s="32">
        <v>7</v>
      </c>
      <c r="D7" s="47">
        <v>12480971.459999999</v>
      </c>
      <c r="E7" s="47">
        <v>5357938.17</v>
      </c>
      <c r="F7" s="32">
        <v>0</v>
      </c>
      <c r="G7" s="47">
        <v>0</v>
      </c>
      <c r="H7" s="47">
        <v>0</v>
      </c>
      <c r="I7" s="32">
        <v>7</v>
      </c>
      <c r="J7" s="47">
        <v>12480971.459999999</v>
      </c>
      <c r="K7" s="47">
        <v>5357938.17</v>
      </c>
    </row>
    <row r="8" spans="1:16384" x14ac:dyDescent="0.25">
      <c r="A8" s="18" t="s">
        <v>182</v>
      </c>
      <c r="B8" s="18" t="s">
        <v>2600</v>
      </c>
      <c r="C8" s="32">
        <v>1</v>
      </c>
      <c r="D8" s="47">
        <v>0</v>
      </c>
      <c r="E8" s="47">
        <v>0</v>
      </c>
      <c r="F8" s="32">
        <v>0</v>
      </c>
      <c r="G8" s="47">
        <v>0</v>
      </c>
      <c r="H8" s="47">
        <v>0</v>
      </c>
      <c r="I8" s="32">
        <v>1</v>
      </c>
      <c r="J8" s="47">
        <v>0</v>
      </c>
      <c r="K8" s="47">
        <v>0</v>
      </c>
    </row>
    <row r="9" spans="1:16384" x14ac:dyDescent="0.25">
      <c r="A9" s="18" t="s">
        <v>182</v>
      </c>
      <c r="B9" s="18" t="s">
        <v>2535</v>
      </c>
      <c r="C9" s="32">
        <v>38</v>
      </c>
      <c r="D9" s="47">
        <v>421130919.90299982</v>
      </c>
      <c r="E9" s="47">
        <v>141648072.41999999</v>
      </c>
      <c r="F9" s="32">
        <v>6</v>
      </c>
      <c r="G9" s="47">
        <v>100710265.05999999</v>
      </c>
      <c r="H9" s="47">
        <v>13421167.91</v>
      </c>
      <c r="I9" s="32">
        <v>44</v>
      </c>
      <c r="J9" s="47">
        <v>521841184.96299982</v>
      </c>
      <c r="K9" s="47">
        <v>155069240.32999998</v>
      </c>
    </row>
    <row r="10" spans="1:16384" x14ac:dyDescent="0.25">
      <c r="A10" s="18" t="s">
        <v>182</v>
      </c>
      <c r="B10" s="18" t="s">
        <v>2307</v>
      </c>
      <c r="C10" s="32">
        <v>48</v>
      </c>
      <c r="D10" s="47">
        <v>444472277.7100001</v>
      </c>
      <c r="E10" s="47">
        <v>51993309.659999996</v>
      </c>
      <c r="F10" s="32">
        <v>0</v>
      </c>
      <c r="G10" s="47">
        <v>0</v>
      </c>
      <c r="H10" s="47">
        <v>0</v>
      </c>
      <c r="I10" s="32">
        <v>48</v>
      </c>
      <c r="J10" s="47">
        <v>444472277.7100001</v>
      </c>
      <c r="K10" s="47">
        <v>51993309.659999996</v>
      </c>
    </row>
    <row r="11" spans="1:16384" x14ac:dyDescent="0.25">
      <c r="A11" s="18" t="s">
        <v>182</v>
      </c>
      <c r="B11" s="18" t="s">
        <v>2693</v>
      </c>
      <c r="C11" s="32">
        <v>2</v>
      </c>
      <c r="D11" s="47">
        <v>1268631.68</v>
      </c>
      <c r="E11" s="47">
        <v>421741.41</v>
      </c>
      <c r="F11" s="32">
        <v>2</v>
      </c>
      <c r="G11" s="47">
        <v>202618.6</v>
      </c>
      <c r="H11" s="47">
        <v>0</v>
      </c>
      <c r="I11" s="32">
        <v>4</v>
      </c>
      <c r="J11" s="47">
        <v>1471250.28</v>
      </c>
      <c r="K11" s="47">
        <v>421741.41</v>
      </c>
    </row>
    <row r="12" spans="1:16384" x14ac:dyDescent="0.25">
      <c r="A12" s="18" t="s">
        <v>2685</v>
      </c>
      <c r="B12" s="18" t="s">
        <v>2312</v>
      </c>
      <c r="C12" s="32">
        <v>1</v>
      </c>
      <c r="D12" s="47">
        <v>1590325.21</v>
      </c>
      <c r="E12" s="47">
        <v>0</v>
      </c>
      <c r="F12" s="32">
        <v>0</v>
      </c>
      <c r="G12" s="47">
        <v>0</v>
      </c>
      <c r="H12" s="47">
        <v>0</v>
      </c>
      <c r="I12" s="32">
        <v>1</v>
      </c>
      <c r="J12" s="47">
        <v>1590325.21</v>
      </c>
      <c r="K12" s="47">
        <v>0</v>
      </c>
    </row>
    <row r="13" spans="1:16384" x14ac:dyDescent="0.25">
      <c r="A13" s="18" t="s">
        <v>182</v>
      </c>
      <c r="B13" s="18" t="s">
        <v>2694</v>
      </c>
      <c r="C13" s="32">
        <v>0</v>
      </c>
      <c r="D13" s="47">
        <v>0</v>
      </c>
      <c r="E13" s="47">
        <v>0</v>
      </c>
      <c r="F13" s="32">
        <v>28</v>
      </c>
      <c r="G13" s="47">
        <v>530368819.04000014</v>
      </c>
      <c r="H13" s="47">
        <v>259274324.44000003</v>
      </c>
      <c r="I13" s="32">
        <v>28</v>
      </c>
      <c r="J13" s="47">
        <v>530368819.04000014</v>
      </c>
      <c r="K13" s="47">
        <v>259274324.44000003</v>
      </c>
    </row>
    <row r="14" spans="1:16384" ht="24" x14ac:dyDescent="0.25">
      <c r="A14" s="18" t="s">
        <v>182</v>
      </c>
      <c r="B14" s="18" t="s">
        <v>2958</v>
      </c>
      <c r="C14" s="32">
        <v>1</v>
      </c>
      <c r="D14" s="47">
        <v>31520002.530000001</v>
      </c>
      <c r="E14" s="47">
        <v>2771177.68</v>
      </c>
      <c r="F14" s="32">
        <v>0</v>
      </c>
      <c r="G14" s="47">
        <v>0</v>
      </c>
      <c r="H14" s="47">
        <v>0</v>
      </c>
      <c r="I14" s="32">
        <v>1</v>
      </c>
      <c r="J14" s="47">
        <v>31520002.530000001</v>
      </c>
      <c r="K14" s="47">
        <v>2771177.68</v>
      </c>
    </row>
    <row r="15" spans="1:16384" x14ac:dyDescent="0.25">
      <c r="A15" s="18" t="s">
        <v>182</v>
      </c>
      <c r="B15" s="18" t="s">
        <v>2383</v>
      </c>
      <c r="C15" s="32">
        <v>1</v>
      </c>
      <c r="D15" s="47">
        <v>576165.99</v>
      </c>
      <c r="E15" s="47">
        <v>99615.87</v>
      </c>
      <c r="F15" s="32">
        <v>0</v>
      </c>
      <c r="G15" s="47">
        <v>0</v>
      </c>
      <c r="H15" s="47">
        <v>0</v>
      </c>
      <c r="I15" s="32">
        <v>1</v>
      </c>
      <c r="J15" s="47">
        <v>576165.99</v>
      </c>
      <c r="K15" s="47">
        <v>99615.87</v>
      </c>
    </row>
    <row r="16" spans="1:16384" x14ac:dyDescent="0.25">
      <c r="A16" s="18" t="s">
        <v>182</v>
      </c>
      <c r="B16" s="34" t="s">
        <v>2695</v>
      </c>
      <c r="C16" s="32">
        <v>0</v>
      </c>
      <c r="D16" s="47">
        <v>0</v>
      </c>
      <c r="E16" s="47">
        <v>0</v>
      </c>
      <c r="F16" s="32">
        <v>3</v>
      </c>
      <c r="G16" s="47">
        <v>9411622.9200000018</v>
      </c>
      <c r="H16" s="47">
        <v>8504952.7100000009</v>
      </c>
      <c r="I16" s="32">
        <v>3</v>
      </c>
      <c r="J16" s="47">
        <v>9411622.9200000018</v>
      </c>
      <c r="K16" s="47">
        <v>8504952.7100000009</v>
      </c>
    </row>
    <row r="17" spans="1:11" x14ac:dyDescent="0.25">
      <c r="A17" s="18" t="s">
        <v>182</v>
      </c>
      <c r="B17" s="18" t="s">
        <v>2698</v>
      </c>
      <c r="C17" s="32">
        <v>3</v>
      </c>
      <c r="D17" s="47">
        <v>3162048.1399999997</v>
      </c>
      <c r="E17" s="47">
        <v>1081607.08</v>
      </c>
      <c r="F17" s="32">
        <v>0</v>
      </c>
      <c r="G17" s="47">
        <v>0</v>
      </c>
      <c r="H17" s="47">
        <v>0</v>
      </c>
      <c r="I17" s="32">
        <v>3</v>
      </c>
      <c r="J17" s="47">
        <v>3162048.1399999997</v>
      </c>
      <c r="K17" s="47">
        <v>1081607.08</v>
      </c>
    </row>
    <row r="18" spans="1:11" x14ac:dyDescent="0.25">
      <c r="A18" s="18" t="s">
        <v>182</v>
      </c>
      <c r="B18" s="34" t="s">
        <v>2699</v>
      </c>
      <c r="C18" s="32">
        <v>2</v>
      </c>
      <c r="D18" s="47">
        <v>10594504.710000001</v>
      </c>
      <c r="E18" s="47">
        <v>8075525.9299999997</v>
      </c>
      <c r="F18" s="32">
        <v>1</v>
      </c>
      <c r="G18" s="47">
        <v>208997.26</v>
      </c>
      <c r="H18" s="47">
        <v>0</v>
      </c>
      <c r="I18" s="32">
        <v>3</v>
      </c>
      <c r="J18" s="47">
        <v>10803501.970000001</v>
      </c>
      <c r="K18" s="47">
        <v>8075525.9299999997</v>
      </c>
    </row>
    <row r="19" spans="1:11" x14ac:dyDescent="0.25">
      <c r="A19" s="18" t="s">
        <v>182</v>
      </c>
      <c r="B19" s="18" t="s">
        <v>2391</v>
      </c>
      <c r="C19" s="32">
        <v>3</v>
      </c>
      <c r="D19" s="47">
        <v>718918.55</v>
      </c>
      <c r="E19" s="47">
        <v>461614.45999999996</v>
      </c>
      <c r="F19" s="32">
        <v>0</v>
      </c>
      <c r="G19" s="47">
        <v>0</v>
      </c>
      <c r="H19" s="47">
        <v>0</v>
      </c>
      <c r="I19" s="32">
        <v>3</v>
      </c>
      <c r="J19" s="47">
        <v>718918.55</v>
      </c>
      <c r="K19" s="47">
        <v>461614.45999999996</v>
      </c>
    </row>
    <row r="20" spans="1:11" x14ac:dyDescent="0.25">
      <c r="A20" s="18" t="s">
        <v>2685</v>
      </c>
      <c r="B20" s="18" t="s">
        <v>2700</v>
      </c>
      <c r="C20" s="32">
        <v>3</v>
      </c>
      <c r="D20" s="47">
        <v>649944.65999999992</v>
      </c>
      <c r="E20" s="47">
        <v>389886.65</v>
      </c>
      <c r="F20" s="32">
        <v>0</v>
      </c>
      <c r="G20" s="47">
        <v>0</v>
      </c>
      <c r="H20" s="47">
        <v>0</v>
      </c>
      <c r="I20" s="32">
        <v>3</v>
      </c>
      <c r="J20" s="47">
        <v>649944.65999999992</v>
      </c>
      <c r="K20" s="47">
        <v>389886.65</v>
      </c>
    </row>
    <row r="21" spans="1:11" x14ac:dyDescent="0.25">
      <c r="A21" s="18" t="s">
        <v>182</v>
      </c>
      <c r="B21" s="18" t="s">
        <v>2651</v>
      </c>
      <c r="C21" s="32">
        <v>0</v>
      </c>
      <c r="D21" s="47">
        <v>0</v>
      </c>
      <c r="E21" s="47">
        <v>0</v>
      </c>
      <c r="F21" s="32">
        <v>2</v>
      </c>
      <c r="G21" s="47">
        <v>32551398.100000001</v>
      </c>
      <c r="H21" s="47">
        <v>7465325.9300000006</v>
      </c>
      <c r="I21" s="32">
        <v>2</v>
      </c>
      <c r="J21" s="47">
        <v>32551398.100000001</v>
      </c>
      <c r="K21" s="47">
        <v>7465325.9300000006</v>
      </c>
    </row>
    <row r="22" spans="1:11" x14ac:dyDescent="0.25">
      <c r="A22" s="18" t="s">
        <v>182</v>
      </c>
      <c r="B22" s="18" t="s">
        <v>2414</v>
      </c>
      <c r="C22" s="32">
        <v>4</v>
      </c>
      <c r="D22" s="47">
        <v>5196723.6400000006</v>
      </c>
      <c r="E22" s="47">
        <v>1031443.38</v>
      </c>
      <c r="F22" s="32">
        <v>0</v>
      </c>
      <c r="G22" s="47">
        <v>0</v>
      </c>
      <c r="H22" s="47">
        <v>0</v>
      </c>
      <c r="I22" s="32">
        <v>4</v>
      </c>
      <c r="J22" s="47">
        <v>5196723.6400000006</v>
      </c>
      <c r="K22" s="47">
        <v>1031443.38</v>
      </c>
    </row>
    <row r="23" spans="1:11" x14ac:dyDescent="0.25">
      <c r="A23" s="18" t="s">
        <v>182</v>
      </c>
      <c r="B23" s="18" t="s">
        <v>2427</v>
      </c>
      <c r="C23" s="32">
        <v>5</v>
      </c>
      <c r="D23" s="47">
        <v>62539516.870000005</v>
      </c>
      <c r="E23" s="47">
        <v>50074414.169999994</v>
      </c>
      <c r="F23" s="32">
        <v>0</v>
      </c>
      <c r="G23" s="47">
        <v>0</v>
      </c>
      <c r="H23" s="47">
        <v>0</v>
      </c>
      <c r="I23" s="32">
        <v>5</v>
      </c>
      <c r="J23" s="47">
        <v>62539516.870000005</v>
      </c>
      <c r="K23" s="47">
        <v>50074414.169999994</v>
      </c>
    </row>
    <row r="24" spans="1:11" x14ac:dyDescent="0.25">
      <c r="A24" s="18" t="s">
        <v>182</v>
      </c>
      <c r="B24" s="18" t="s">
        <v>2444</v>
      </c>
      <c r="C24" s="32">
        <v>1</v>
      </c>
      <c r="D24" s="47">
        <v>13748890.74</v>
      </c>
      <c r="E24" s="47">
        <v>5487072.5899999999</v>
      </c>
      <c r="F24" s="32">
        <v>0</v>
      </c>
      <c r="G24" s="47">
        <v>0</v>
      </c>
      <c r="H24" s="47">
        <v>0</v>
      </c>
      <c r="I24" s="32">
        <v>1</v>
      </c>
      <c r="J24" s="47">
        <v>13748890.74</v>
      </c>
      <c r="K24" s="47">
        <v>5487072.5899999999</v>
      </c>
    </row>
    <row r="25" spans="1:11" x14ac:dyDescent="0.25">
      <c r="A25" s="18" t="s">
        <v>182</v>
      </c>
      <c r="B25" s="18" t="s">
        <v>2446</v>
      </c>
      <c r="C25" s="32">
        <v>1</v>
      </c>
      <c r="D25" s="47">
        <v>55000</v>
      </c>
      <c r="E25" s="47">
        <v>32719.83</v>
      </c>
      <c r="F25" s="32">
        <v>0</v>
      </c>
      <c r="G25" s="47">
        <v>0</v>
      </c>
      <c r="H25" s="47">
        <v>0</v>
      </c>
      <c r="I25" s="32">
        <v>1</v>
      </c>
      <c r="J25" s="47">
        <v>55000</v>
      </c>
      <c r="K25" s="47">
        <v>32719.83</v>
      </c>
    </row>
    <row r="26" spans="1:11" x14ac:dyDescent="0.25">
      <c r="A26" s="18" t="s">
        <v>182</v>
      </c>
      <c r="B26" s="18" t="s">
        <v>2300</v>
      </c>
      <c r="C26" s="32">
        <v>1</v>
      </c>
      <c r="D26" s="47">
        <v>807164.09</v>
      </c>
      <c r="E26" s="47">
        <v>27545.279999999999</v>
      </c>
      <c r="F26" s="32">
        <v>0</v>
      </c>
      <c r="G26" s="47">
        <v>0</v>
      </c>
      <c r="H26" s="47">
        <v>0</v>
      </c>
      <c r="I26" s="32">
        <v>1</v>
      </c>
      <c r="J26" s="47">
        <v>807164.09</v>
      </c>
      <c r="K26" s="47">
        <v>27545.279999999999</v>
      </c>
    </row>
    <row r="27" spans="1:11" x14ac:dyDescent="0.25">
      <c r="A27" s="18" t="s">
        <v>182</v>
      </c>
      <c r="B27" s="18" t="s">
        <v>1560</v>
      </c>
      <c r="C27" s="32">
        <v>9</v>
      </c>
      <c r="D27" s="47">
        <v>971146413.07000005</v>
      </c>
      <c r="E27" s="47">
        <v>1727865.91</v>
      </c>
      <c r="F27" s="32">
        <v>0</v>
      </c>
      <c r="G27" s="47">
        <v>0</v>
      </c>
      <c r="H27" s="47">
        <v>0</v>
      </c>
      <c r="I27" s="32">
        <v>9</v>
      </c>
      <c r="J27" s="47">
        <v>971146413.07000005</v>
      </c>
      <c r="K27" s="47">
        <v>1727865.91</v>
      </c>
    </row>
    <row r="28" spans="1:11" x14ac:dyDescent="0.25">
      <c r="A28" s="18" t="s">
        <v>182</v>
      </c>
      <c r="B28" s="18" t="s">
        <v>205</v>
      </c>
      <c r="C28" s="32">
        <v>2</v>
      </c>
      <c r="D28" s="47">
        <v>1460910.63</v>
      </c>
      <c r="E28" s="47">
        <v>187050.34</v>
      </c>
      <c r="F28" s="32">
        <v>2</v>
      </c>
      <c r="G28" s="47">
        <v>99318321.170000002</v>
      </c>
      <c r="H28" s="47">
        <v>7874290.0900000008</v>
      </c>
      <c r="I28" s="32">
        <v>4</v>
      </c>
      <c r="J28" s="47">
        <v>100779231.8</v>
      </c>
      <c r="K28" s="47">
        <v>8061340.4300000006</v>
      </c>
    </row>
    <row r="29" spans="1:11" x14ac:dyDescent="0.25">
      <c r="A29" s="18" t="s">
        <v>182</v>
      </c>
      <c r="B29" s="18" t="s">
        <v>225</v>
      </c>
      <c r="C29" s="32">
        <v>5</v>
      </c>
      <c r="D29" s="47">
        <v>2028035.17</v>
      </c>
      <c r="E29" s="47">
        <v>511798.91</v>
      </c>
      <c r="F29" s="32">
        <v>0</v>
      </c>
      <c r="G29" s="47">
        <v>0</v>
      </c>
      <c r="H29" s="47">
        <v>0</v>
      </c>
      <c r="I29" s="32">
        <v>5</v>
      </c>
      <c r="J29" s="47">
        <v>2028035.17</v>
      </c>
      <c r="K29" s="47">
        <v>511798.91</v>
      </c>
    </row>
    <row r="30" spans="1:11" x14ac:dyDescent="0.25">
      <c r="A30" s="18" t="s">
        <v>182</v>
      </c>
      <c r="B30" s="18" t="s">
        <v>497</v>
      </c>
      <c r="C30" s="32">
        <v>4</v>
      </c>
      <c r="D30" s="47">
        <v>18636828.559999999</v>
      </c>
      <c r="E30" s="47">
        <v>13534497.35</v>
      </c>
      <c r="F30" s="32">
        <v>1</v>
      </c>
      <c r="G30" s="47">
        <v>6268303.2400000002</v>
      </c>
      <c r="H30" s="47">
        <v>3795259.49</v>
      </c>
      <c r="I30" s="32">
        <v>5</v>
      </c>
      <c r="J30" s="47">
        <v>24905131.799999997</v>
      </c>
      <c r="K30" s="47">
        <v>17329756.84</v>
      </c>
    </row>
    <row r="31" spans="1:11" ht="24" x14ac:dyDescent="0.25">
      <c r="A31" s="18" t="s">
        <v>182</v>
      </c>
      <c r="B31" s="18" t="s">
        <v>501</v>
      </c>
      <c r="C31" s="32">
        <v>5</v>
      </c>
      <c r="D31" s="47">
        <v>38596303.380000003</v>
      </c>
      <c r="E31" s="47">
        <v>6281743.3599999994</v>
      </c>
      <c r="F31" s="32">
        <v>0</v>
      </c>
      <c r="G31" s="47">
        <v>0</v>
      </c>
      <c r="H31" s="47">
        <v>0</v>
      </c>
      <c r="I31" s="32">
        <v>5</v>
      </c>
      <c r="J31" s="47">
        <v>38596303.380000003</v>
      </c>
      <c r="K31" s="47">
        <v>6281743.3599999994</v>
      </c>
    </row>
    <row r="32" spans="1:11" x14ac:dyDescent="0.25">
      <c r="A32" s="18" t="s">
        <v>182</v>
      </c>
      <c r="B32" s="18" t="s">
        <v>2526</v>
      </c>
      <c r="C32" s="32">
        <v>1</v>
      </c>
      <c r="D32" s="47">
        <v>3501084.24</v>
      </c>
      <c r="E32" s="47">
        <v>3607785.91</v>
      </c>
      <c r="F32" s="32">
        <v>1</v>
      </c>
      <c r="G32" s="47">
        <v>157637398.78</v>
      </c>
      <c r="H32" s="47">
        <v>153350230.22</v>
      </c>
      <c r="I32" s="32">
        <v>2</v>
      </c>
      <c r="J32" s="47">
        <v>161138483.02000001</v>
      </c>
      <c r="K32" s="47">
        <v>156958016.13</v>
      </c>
    </row>
    <row r="33" spans="1:11" x14ac:dyDescent="0.25">
      <c r="A33" s="18" t="s">
        <v>182</v>
      </c>
      <c r="B33" s="18" t="s">
        <v>512</v>
      </c>
      <c r="C33" s="32">
        <v>0</v>
      </c>
      <c r="D33" s="47">
        <v>0</v>
      </c>
      <c r="E33" s="47">
        <v>0</v>
      </c>
      <c r="F33" s="32">
        <v>17</v>
      </c>
      <c r="G33" s="47">
        <v>61687065.869999997</v>
      </c>
      <c r="H33" s="47">
        <v>30295874.09</v>
      </c>
      <c r="I33" s="32">
        <v>17</v>
      </c>
      <c r="J33" s="47">
        <v>61687065.869999997</v>
      </c>
      <c r="K33" s="47">
        <v>30295874.09</v>
      </c>
    </row>
    <row r="34" spans="1:11" x14ac:dyDescent="0.25">
      <c r="A34" s="18" t="s">
        <v>182</v>
      </c>
      <c r="B34" s="18" t="s">
        <v>2517</v>
      </c>
      <c r="C34" s="32">
        <v>0</v>
      </c>
      <c r="D34" s="47">
        <v>0</v>
      </c>
      <c r="E34" s="47">
        <v>0</v>
      </c>
      <c r="F34" s="32">
        <v>6</v>
      </c>
      <c r="G34" s="47">
        <v>52686506.210000008</v>
      </c>
      <c r="H34" s="47">
        <v>11443241.75</v>
      </c>
      <c r="I34" s="32">
        <v>6</v>
      </c>
      <c r="J34" s="47">
        <v>52686506.210000008</v>
      </c>
      <c r="K34" s="47">
        <v>11443241.75</v>
      </c>
    </row>
    <row r="35" spans="1:11" x14ac:dyDescent="0.25">
      <c r="A35" s="18" t="s">
        <v>182</v>
      </c>
      <c r="B35" s="18" t="s">
        <v>243</v>
      </c>
      <c r="C35" s="32">
        <v>1</v>
      </c>
      <c r="D35" s="47">
        <v>15641812.370000001</v>
      </c>
      <c r="E35" s="47">
        <v>13744248.73</v>
      </c>
      <c r="F35" s="32">
        <v>0</v>
      </c>
      <c r="G35" s="47">
        <v>0</v>
      </c>
      <c r="H35" s="47">
        <v>0</v>
      </c>
      <c r="I35" s="32">
        <v>1</v>
      </c>
      <c r="J35" s="47">
        <v>15641812.370000001</v>
      </c>
      <c r="K35" s="47">
        <v>13744248.73</v>
      </c>
    </row>
    <row r="36" spans="1:11" x14ac:dyDescent="0.25">
      <c r="A36" s="18" t="s">
        <v>182</v>
      </c>
      <c r="B36" s="18" t="s">
        <v>244</v>
      </c>
      <c r="C36" s="32">
        <v>0</v>
      </c>
      <c r="D36" s="47">
        <v>0</v>
      </c>
      <c r="E36" s="47">
        <v>0</v>
      </c>
      <c r="F36" s="32">
        <v>11</v>
      </c>
      <c r="G36" s="47">
        <v>129964132.79999998</v>
      </c>
      <c r="H36" s="47">
        <v>94019535.010000005</v>
      </c>
      <c r="I36" s="32">
        <v>11</v>
      </c>
      <c r="J36" s="47">
        <v>129964132.79999998</v>
      </c>
      <c r="K36" s="47">
        <v>94019535.010000005</v>
      </c>
    </row>
    <row r="37" spans="1:11" x14ac:dyDescent="0.25">
      <c r="A37" s="18" t="s">
        <v>182</v>
      </c>
      <c r="B37" s="18" t="s">
        <v>312</v>
      </c>
      <c r="C37" s="32">
        <v>0</v>
      </c>
      <c r="D37" s="47">
        <v>0</v>
      </c>
      <c r="E37" s="47">
        <v>0</v>
      </c>
      <c r="F37" s="32">
        <v>5</v>
      </c>
      <c r="G37" s="47">
        <v>3527495.32</v>
      </c>
      <c r="H37" s="47">
        <v>2058437.96</v>
      </c>
      <c r="I37" s="32">
        <v>5</v>
      </c>
      <c r="J37" s="47">
        <v>3527495.32</v>
      </c>
      <c r="K37" s="47">
        <v>2058437.96</v>
      </c>
    </row>
    <row r="38" spans="1:11" x14ac:dyDescent="0.25">
      <c r="A38" s="18" t="s">
        <v>182</v>
      </c>
      <c r="B38" s="18" t="s">
        <v>346</v>
      </c>
      <c r="C38" s="32">
        <v>23</v>
      </c>
      <c r="D38" s="47">
        <v>67185408.439999983</v>
      </c>
      <c r="E38" s="47">
        <v>27253773.690000001</v>
      </c>
      <c r="F38" s="32">
        <v>0</v>
      </c>
      <c r="G38" s="47">
        <v>0</v>
      </c>
      <c r="H38" s="47">
        <v>0</v>
      </c>
      <c r="I38" s="32">
        <v>23</v>
      </c>
      <c r="J38" s="47">
        <v>67185408.439999983</v>
      </c>
      <c r="K38" s="47">
        <v>27253773.690000001</v>
      </c>
    </row>
    <row r="39" spans="1:11" x14ac:dyDescent="0.25">
      <c r="A39" s="18" t="s">
        <v>182</v>
      </c>
      <c r="B39" s="18" t="s">
        <v>4107</v>
      </c>
      <c r="C39" s="32">
        <v>15</v>
      </c>
      <c r="D39" s="47">
        <v>245867922.55000001</v>
      </c>
      <c r="E39" s="47">
        <v>0</v>
      </c>
      <c r="F39" s="32">
        <v>0</v>
      </c>
      <c r="G39" s="47">
        <v>0</v>
      </c>
      <c r="H39" s="47">
        <v>0</v>
      </c>
      <c r="I39" s="32">
        <v>15</v>
      </c>
      <c r="J39" s="47">
        <v>245867922.55000001</v>
      </c>
      <c r="K39" s="47">
        <v>0</v>
      </c>
    </row>
    <row r="40" spans="1:11" ht="24" x14ac:dyDescent="0.25">
      <c r="A40" s="18" t="s">
        <v>182</v>
      </c>
      <c r="B40" s="18" t="s">
        <v>561</v>
      </c>
      <c r="C40" s="32">
        <v>10</v>
      </c>
      <c r="D40" s="47">
        <v>345484137.62</v>
      </c>
      <c r="E40" s="47">
        <v>143109716.47</v>
      </c>
      <c r="F40" s="32">
        <v>0</v>
      </c>
      <c r="G40" s="47">
        <v>0</v>
      </c>
      <c r="H40" s="47">
        <v>0</v>
      </c>
      <c r="I40" s="32">
        <v>10</v>
      </c>
      <c r="J40" s="47">
        <v>345484137.62</v>
      </c>
      <c r="K40" s="47">
        <v>143109716.47</v>
      </c>
    </row>
    <row r="41" spans="1:11" x14ac:dyDescent="0.25">
      <c r="A41" s="18" t="s">
        <v>2685</v>
      </c>
      <c r="B41" s="18" t="s">
        <v>449</v>
      </c>
      <c r="C41" s="32">
        <v>0</v>
      </c>
      <c r="D41" s="47">
        <v>0</v>
      </c>
      <c r="E41" s="47">
        <v>0</v>
      </c>
      <c r="F41" s="32">
        <v>3</v>
      </c>
      <c r="G41" s="47">
        <v>86405694.639999986</v>
      </c>
      <c r="H41" s="47">
        <v>17905514.57</v>
      </c>
      <c r="I41" s="32">
        <v>3</v>
      </c>
      <c r="J41" s="47">
        <v>86405694.639999986</v>
      </c>
      <c r="K41" s="47">
        <v>17905514.57</v>
      </c>
    </row>
    <row r="42" spans="1:11" x14ac:dyDescent="0.25">
      <c r="A42" s="18" t="s">
        <v>182</v>
      </c>
      <c r="B42" s="18" t="s">
        <v>2656</v>
      </c>
      <c r="C42" s="32">
        <v>6</v>
      </c>
      <c r="D42" s="47">
        <v>296596674.49000001</v>
      </c>
      <c r="E42" s="47">
        <v>198757118.69000003</v>
      </c>
      <c r="F42" s="32">
        <v>0</v>
      </c>
      <c r="G42" s="47">
        <v>0</v>
      </c>
      <c r="H42" s="47">
        <v>0</v>
      </c>
      <c r="I42" s="32">
        <v>6</v>
      </c>
      <c r="J42" s="47">
        <v>296596674.49000001</v>
      </c>
      <c r="K42" s="47">
        <v>198757118.69000003</v>
      </c>
    </row>
    <row r="43" spans="1:11" x14ac:dyDescent="0.25">
      <c r="A43" s="18" t="s">
        <v>182</v>
      </c>
      <c r="B43" s="18" t="s">
        <v>475</v>
      </c>
      <c r="C43" s="32">
        <v>0</v>
      </c>
      <c r="D43" s="47">
        <v>0</v>
      </c>
      <c r="E43" s="47">
        <v>0</v>
      </c>
      <c r="F43" s="32">
        <v>1</v>
      </c>
      <c r="G43" s="47">
        <v>220692.54</v>
      </c>
      <c r="H43" s="47">
        <v>11881590.539999999</v>
      </c>
      <c r="I43" s="32">
        <v>1</v>
      </c>
      <c r="J43" s="47">
        <v>220692.54</v>
      </c>
      <c r="K43" s="47">
        <v>11881590.539999999</v>
      </c>
    </row>
    <row r="44" spans="1:11" x14ac:dyDescent="0.25">
      <c r="A44" s="18" t="s">
        <v>182</v>
      </c>
      <c r="B44" s="18" t="s">
        <v>491</v>
      </c>
      <c r="C44" s="32">
        <v>1</v>
      </c>
      <c r="D44" s="47">
        <v>2013619.57</v>
      </c>
      <c r="E44" s="47">
        <v>697662.81</v>
      </c>
      <c r="F44" s="32">
        <v>0</v>
      </c>
      <c r="G44" s="47">
        <v>0</v>
      </c>
      <c r="H44" s="47">
        <v>0</v>
      </c>
      <c r="I44" s="32">
        <v>1</v>
      </c>
      <c r="J44" s="47">
        <v>2013619.57</v>
      </c>
      <c r="K44" s="47">
        <v>697662.81</v>
      </c>
    </row>
    <row r="45" spans="1:11" x14ac:dyDescent="0.25">
      <c r="A45" s="18" t="s">
        <v>1823</v>
      </c>
      <c r="B45" s="18" t="s">
        <v>2306</v>
      </c>
      <c r="C45" s="32">
        <v>3</v>
      </c>
      <c r="D45" s="47">
        <v>55388402.600000001</v>
      </c>
      <c r="E45" s="47">
        <v>20240784.850000001</v>
      </c>
      <c r="F45" s="32">
        <v>0</v>
      </c>
      <c r="G45" s="47">
        <v>0</v>
      </c>
      <c r="H45" s="47">
        <v>0</v>
      </c>
      <c r="I45" s="32">
        <v>3</v>
      </c>
      <c r="J45" s="47">
        <v>55388402.600000001</v>
      </c>
      <c r="K45" s="47">
        <v>20240784.850000001</v>
      </c>
    </row>
    <row r="46" spans="1:11" x14ac:dyDescent="0.25">
      <c r="A46" s="18" t="s">
        <v>1823</v>
      </c>
      <c r="B46" s="18" t="s">
        <v>3640</v>
      </c>
      <c r="C46" s="32">
        <v>5</v>
      </c>
      <c r="D46" s="47">
        <v>1756368.66</v>
      </c>
      <c r="E46" s="47">
        <v>0</v>
      </c>
      <c r="F46" s="32">
        <v>0</v>
      </c>
      <c r="G46" s="47">
        <v>0</v>
      </c>
      <c r="H46" s="47">
        <v>0</v>
      </c>
      <c r="I46" s="32">
        <v>5</v>
      </c>
      <c r="J46" s="47">
        <v>1756368.66</v>
      </c>
      <c r="K46" s="47">
        <v>0</v>
      </c>
    </row>
    <row r="47" spans="1:11" x14ac:dyDescent="0.25">
      <c r="A47" s="18" t="s">
        <v>1823</v>
      </c>
      <c r="B47" s="18" t="s">
        <v>2676</v>
      </c>
      <c r="C47" s="32">
        <v>1</v>
      </c>
      <c r="D47" s="47">
        <v>490731.08999999997</v>
      </c>
      <c r="E47" s="47">
        <v>95624.2</v>
      </c>
      <c r="F47" s="32">
        <v>0</v>
      </c>
      <c r="G47" s="47">
        <v>0</v>
      </c>
      <c r="H47" s="47">
        <v>0</v>
      </c>
      <c r="I47" s="32">
        <v>1</v>
      </c>
      <c r="J47" s="47">
        <v>490731.08999999997</v>
      </c>
      <c r="K47" s="47">
        <v>95624.2</v>
      </c>
    </row>
    <row r="48" spans="1:11" x14ac:dyDescent="0.25">
      <c r="A48" s="18" t="s">
        <v>2706</v>
      </c>
      <c r="B48" s="18" t="s">
        <v>2270</v>
      </c>
      <c r="C48" s="32">
        <v>0</v>
      </c>
      <c r="D48" s="47">
        <v>0</v>
      </c>
      <c r="E48" s="47">
        <v>0</v>
      </c>
      <c r="F48" s="32">
        <v>1</v>
      </c>
      <c r="G48" s="47">
        <v>286541.48</v>
      </c>
      <c r="H48" s="47">
        <v>296233.26</v>
      </c>
      <c r="I48" s="32">
        <v>1</v>
      </c>
      <c r="J48" s="47">
        <v>286541.48</v>
      </c>
      <c r="K48" s="47">
        <v>296233.26</v>
      </c>
    </row>
    <row r="49" spans="1:11" x14ac:dyDescent="0.25">
      <c r="A49" s="18" t="s">
        <v>1823</v>
      </c>
      <c r="B49" s="18" t="s">
        <v>2103</v>
      </c>
      <c r="C49" s="32">
        <v>0</v>
      </c>
      <c r="D49" s="47">
        <v>0</v>
      </c>
      <c r="E49" s="47">
        <v>0</v>
      </c>
      <c r="F49" s="32">
        <v>64</v>
      </c>
      <c r="G49" s="47">
        <v>965370293.2900002</v>
      </c>
      <c r="H49" s="47">
        <v>364884538.82999998</v>
      </c>
      <c r="I49" s="32">
        <v>64</v>
      </c>
      <c r="J49" s="47">
        <v>965370293.2900002</v>
      </c>
      <c r="K49" s="47">
        <v>364884538.82999998</v>
      </c>
    </row>
    <row r="50" spans="1:11" x14ac:dyDescent="0.25">
      <c r="A50" s="18" t="s">
        <v>1823</v>
      </c>
      <c r="B50" s="18" t="s">
        <v>1451</v>
      </c>
      <c r="C50" s="32">
        <v>14</v>
      </c>
      <c r="D50" s="47">
        <v>303375399.14999998</v>
      </c>
      <c r="E50" s="47">
        <v>103514000.61</v>
      </c>
      <c r="F50" s="32">
        <v>0</v>
      </c>
      <c r="G50" s="47">
        <v>0</v>
      </c>
      <c r="H50" s="47">
        <v>0</v>
      </c>
      <c r="I50" s="32">
        <v>14</v>
      </c>
      <c r="J50" s="47">
        <v>303375399.14999998</v>
      </c>
      <c r="K50" s="47">
        <v>103514000.61</v>
      </c>
    </row>
    <row r="51" spans="1:11" x14ac:dyDescent="0.25">
      <c r="A51" s="18" t="s">
        <v>1823</v>
      </c>
      <c r="B51" s="18" t="s">
        <v>1213</v>
      </c>
      <c r="C51" s="32">
        <v>0</v>
      </c>
      <c r="D51" s="47">
        <v>0</v>
      </c>
      <c r="E51" s="47">
        <v>0</v>
      </c>
      <c r="F51" s="32">
        <v>8</v>
      </c>
      <c r="G51" s="47">
        <v>30787101.269999996</v>
      </c>
      <c r="H51" s="47">
        <v>7218513.4399999995</v>
      </c>
      <c r="I51" s="32">
        <v>8</v>
      </c>
      <c r="J51" s="47">
        <v>30787101.269999996</v>
      </c>
      <c r="K51" s="47">
        <v>7218513.4399999995</v>
      </c>
    </row>
    <row r="52" spans="1:11" x14ac:dyDescent="0.25">
      <c r="A52" s="18" t="s">
        <v>1823</v>
      </c>
      <c r="B52" s="18" t="s">
        <v>2301</v>
      </c>
      <c r="C52" s="32">
        <v>1</v>
      </c>
      <c r="D52" s="47">
        <v>1332772.94</v>
      </c>
      <c r="E52" s="47">
        <v>32231.75</v>
      </c>
      <c r="F52" s="32">
        <v>0</v>
      </c>
      <c r="G52" s="47">
        <v>0</v>
      </c>
      <c r="H52" s="47">
        <v>0</v>
      </c>
      <c r="I52" s="32">
        <v>1</v>
      </c>
      <c r="J52" s="47">
        <v>1332772.94</v>
      </c>
      <c r="K52" s="47">
        <v>32231.75</v>
      </c>
    </row>
    <row r="53" spans="1:11" x14ac:dyDescent="0.25">
      <c r="A53" s="18" t="s">
        <v>1823</v>
      </c>
      <c r="B53" s="18" t="s">
        <v>2305</v>
      </c>
      <c r="C53" s="32">
        <v>0</v>
      </c>
      <c r="D53" s="47">
        <v>0</v>
      </c>
      <c r="E53" s="47">
        <v>0</v>
      </c>
      <c r="F53" s="32">
        <v>2</v>
      </c>
      <c r="G53" s="47">
        <v>58561294.75</v>
      </c>
      <c r="H53" s="47">
        <v>17667934.27</v>
      </c>
      <c r="I53" s="32">
        <v>2</v>
      </c>
      <c r="J53" s="47">
        <v>58561294.75</v>
      </c>
      <c r="K53" s="47">
        <v>17667934.27</v>
      </c>
    </row>
    <row r="54" spans="1:11" x14ac:dyDescent="0.25">
      <c r="A54" s="18" t="s">
        <v>1823</v>
      </c>
      <c r="B54" s="18" t="s">
        <v>2302</v>
      </c>
      <c r="C54" s="32">
        <v>0</v>
      </c>
      <c r="D54" s="47">
        <v>0</v>
      </c>
      <c r="E54" s="47">
        <v>0</v>
      </c>
      <c r="F54" s="32">
        <v>7</v>
      </c>
      <c r="G54" s="47">
        <v>20356247.459999997</v>
      </c>
      <c r="H54" s="47">
        <v>5206095.6000000006</v>
      </c>
      <c r="I54" s="32">
        <v>7</v>
      </c>
      <c r="J54" s="47">
        <v>20356247.459999997</v>
      </c>
      <c r="K54" s="47">
        <v>5206095.6000000006</v>
      </c>
    </row>
    <row r="55" spans="1:11" x14ac:dyDescent="0.25">
      <c r="A55" s="18" t="s">
        <v>1823</v>
      </c>
      <c r="B55" s="18" t="s">
        <v>3607</v>
      </c>
      <c r="C55" s="32">
        <v>4</v>
      </c>
      <c r="D55" s="47">
        <v>27571142.310000002</v>
      </c>
      <c r="E55" s="47">
        <v>20235721.390000001</v>
      </c>
      <c r="F55" s="32">
        <v>0</v>
      </c>
      <c r="G55" s="47">
        <v>0</v>
      </c>
      <c r="H55" s="47">
        <v>0</v>
      </c>
      <c r="I55" s="32">
        <v>4</v>
      </c>
      <c r="J55" s="47">
        <v>27571142.310000002</v>
      </c>
      <c r="K55" s="47">
        <v>20235721.390000001</v>
      </c>
    </row>
    <row r="56" spans="1:11" x14ac:dyDescent="0.25">
      <c r="A56" s="18" t="s">
        <v>1823</v>
      </c>
      <c r="B56" s="18" t="s">
        <v>2280</v>
      </c>
      <c r="C56" s="32">
        <v>5</v>
      </c>
      <c r="D56" s="47">
        <v>217623719.94999999</v>
      </c>
      <c r="E56" s="47">
        <v>46154239.109999999</v>
      </c>
      <c r="F56" s="32">
        <v>0</v>
      </c>
      <c r="G56" s="47">
        <v>0</v>
      </c>
      <c r="H56" s="47">
        <v>0</v>
      </c>
      <c r="I56" s="32">
        <v>5</v>
      </c>
      <c r="J56" s="47">
        <v>217623719.94999999</v>
      </c>
      <c r="K56" s="47">
        <v>46154239.109999999</v>
      </c>
    </row>
    <row r="57" spans="1:11" x14ac:dyDescent="0.25">
      <c r="A57" s="18" t="s">
        <v>2706</v>
      </c>
      <c r="B57" s="18" t="s">
        <v>2707</v>
      </c>
      <c r="C57" s="32">
        <v>3</v>
      </c>
      <c r="D57" s="47">
        <v>11623049.439999999</v>
      </c>
      <c r="E57" s="47">
        <v>0</v>
      </c>
      <c r="F57" s="32">
        <v>0</v>
      </c>
      <c r="G57" s="47">
        <v>0</v>
      </c>
      <c r="H57" s="47">
        <v>0</v>
      </c>
      <c r="I57" s="32">
        <v>3</v>
      </c>
      <c r="J57" s="47">
        <v>11623049.439999999</v>
      </c>
      <c r="K57" s="47">
        <v>0</v>
      </c>
    </row>
    <row r="58" spans="1:11" x14ac:dyDescent="0.25">
      <c r="A58" s="18" t="s">
        <v>643</v>
      </c>
      <c r="B58" s="18" t="s">
        <v>37</v>
      </c>
      <c r="C58" s="32">
        <v>0</v>
      </c>
      <c r="D58" s="47">
        <v>0</v>
      </c>
      <c r="E58" s="47">
        <v>0</v>
      </c>
      <c r="F58" s="32">
        <v>14</v>
      </c>
      <c r="G58" s="47">
        <v>8373023.1999999993</v>
      </c>
      <c r="H58" s="47">
        <v>2712195.0600000005</v>
      </c>
      <c r="I58" s="32">
        <v>14</v>
      </c>
      <c r="J58" s="47">
        <v>8373023.1999999993</v>
      </c>
      <c r="K58" s="47">
        <v>2712195.0600000005</v>
      </c>
    </row>
    <row r="59" spans="1:11" x14ac:dyDescent="0.25">
      <c r="A59" s="18" t="s">
        <v>657</v>
      </c>
      <c r="B59" s="18" t="s">
        <v>672</v>
      </c>
      <c r="C59" s="32">
        <v>0</v>
      </c>
      <c r="D59" s="47">
        <v>0</v>
      </c>
      <c r="E59" s="47">
        <v>0</v>
      </c>
      <c r="F59" s="32">
        <v>1</v>
      </c>
      <c r="G59" s="47">
        <v>70500</v>
      </c>
      <c r="H59" s="47">
        <v>10000</v>
      </c>
      <c r="I59" s="32">
        <v>1</v>
      </c>
      <c r="J59" s="47">
        <v>70500</v>
      </c>
      <c r="K59" s="47">
        <v>10000</v>
      </c>
    </row>
    <row r="60" spans="1:11" x14ac:dyDescent="0.25">
      <c r="A60" s="18" t="s">
        <v>657</v>
      </c>
      <c r="B60" s="18" t="s">
        <v>37</v>
      </c>
      <c r="C60" s="32">
        <v>5</v>
      </c>
      <c r="D60" s="47">
        <v>2167197.3400000003</v>
      </c>
      <c r="E60" s="47">
        <v>780861.6</v>
      </c>
      <c r="F60" s="32">
        <v>0</v>
      </c>
      <c r="G60" s="47">
        <v>0</v>
      </c>
      <c r="H60" s="47">
        <v>0</v>
      </c>
      <c r="I60" s="32">
        <v>5</v>
      </c>
      <c r="J60" s="47">
        <v>2167197.3400000003</v>
      </c>
      <c r="K60" s="47">
        <v>780861.6</v>
      </c>
    </row>
    <row r="61" spans="1:11" x14ac:dyDescent="0.25">
      <c r="A61" s="18" t="s">
        <v>675</v>
      </c>
      <c r="B61" s="18" t="s">
        <v>37</v>
      </c>
      <c r="C61" s="32">
        <v>4</v>
      </c>
      <c r="D61" s="47">
        <v>4623605.6500000004</v>
      </c>
      <c r="E61" s="47">
        <v>930218.22</v>
      </c>
      <c r="F61" s="32">
        <v>6</v>
      </c>
      <c r="G61" s="47">
        <v>4525796.7</v>
      </c>
      <c r="H61" s="47">
        <v>261572.11</v>
      </c>
      <c r="I61" s="32">
        <v>10</v>
      </c>
      <c r="J61" s="47">
        <v>9149402.3500000015</v>
      </c>
      <c r="K61" s="47">
        <v>1191790.33</v>
      </c>
    </row>
    <row r="62" spans="1:11" x14ac:dyDescent="0.25">
      <c r="A62" s="18" t="s">
        <v>692</v>
      </c>
      <c r="B62" s="18" t="s">
        <v>37</v>
      </c>
      <c r="C62" s="32">
        <v>0</v>
      </c>
      <c r="D62" s="47">
        <v>0</v>
      </c>
      <c r="E62" s="47">
        <v>0</v>
      </c>
      <c r="F62" s="32">
        <v>26</v>
      </c>
      <c r="G62" s="47">
        <v>18325219.48</v>
      </c>
      <c r="H62" s="47">
        <v>9342321.4600000009</v>
      </c>
      <c r="I62" s="32">
        <v>26</v>
      </c>
      <c r="J62" s="47">
        <v>18325219.48</v>
      </c>
      <c r="K62" s="47">
        <v>9342321.4600000009</v>
      </c>
    </row>
    <row r="63" spans="1:11" x14ac:dyDescent="0.25">
      <c r="A63" s="18" t="s">
        <v>771</v>
      </c>
      <c r="B63" s="18" t="s">
        <v>37</v>
      </c>
      <c r="C63" s="32">
        <v>15</v>
      </c>
      <c r="D63" s="47">
        <v>7701532.9299999988</v>
      </c>
      <c r="E63" s="47">
        <v>702170.22</v>
      </c>
      <c r="F63" s="32">
        <v>0</v>
      </c>
      <c r="G63" s="47">
        <v>0</v>
      </c>
      <c r="H63" s="47">
        <v>0</v>
      </c>
      <c r="I63" s="32">
        <v>15</v>
      </c>
      <c r="J63" s="47">
        <v>7701532.9299999988</v>
      </c>
      <c r="K63" s="47">
        <v>702170.22</v>
      </c>
    </row>
    <row r="64" spans="1:11" x14ac:dyDescent="0.25">
      <c r="A64" s="18" t="s">
        <v>776</v>
      </c>
      <c r="B64" s="18" t="s">
        <v>37</v>
      </c>
      <c r="C64" s="32">
        <v>1</v>
      </c>
      <c r="D64" s="47">
        <v>1049504.8400000001</v>
      </c>
      <c r="E64" s="47">
        <v>429496.23</v>
      </c>
      <c r="F64" s="32">
        <v>0</v>
      </c>
      <c r="G64" s="47">
        <v>0</v>
      </c>
      <c r="H64" s="47">
        <v>0</v>
      </c>
      <c r="I64" s="32">
        <v>1</v>
      </c>
      <c r="J64" s="47">
        <v>1049504.8400000001</v>
      </c>
      <c r="K64" s="47">
        <v>429496.23</v>
      </c>
    </row>
    <row r="65" spans="1:11" x14ac:dyDescent="0.25">
      <c r="A65" s="18" t="s">
        <v>786</v>
      </c>
      <c r="B65" s="18" t="s">
        <v>37</v>
      </c>
      <c r="C65" s="32">
        <v>16</v>
      </c>
      <c r="D65" s="47">
        <v>12879614.98</v>
      </c>
      <c r="E65" s="47">
        <v>5292219.6500000004</v>
      </c>
      <c r="F65" s="32">
        <v>0</v>
      </c>
      <c r="G65" s="47">
        <v>0</v>
      </c>
      <c r="H65" s="47">
        <v>0</v>
      </c>
      <c r="I65" s="32">
        <v>16</v>
      </c>
      <c r="J65" s="47">
        <v>12879614.98</v>
      </c>
      <c r="K65" s="47">
        <v>5292219.6500000004</v>
      </c>
    </row>
    <row r="66" spans="1:11" x14ac:dyDescent="0.25">
      <c r="A66" s="18" t="s">
        <v>837</v>
      </c>
      <c r="B66" s="18" t="s">
        <v>37</v>
      </c>
      <c r="C66" s="32">
        <v>0</v>
      </c>
      <c r="D66" s="47">
        <v>0</v>
      </c>
      <c r="E66" s="47">
        <v>0</v>
      </c>
      <c r="F66" s="32">
        <v>3</v>
      </c>
      <c r="G66" s="47">
        <v>730711.33</v>
      </c>
      <c r="H66" s="47">
        <v>387907.01</v>
      </c>
      <c r="I66" s="32">
        <v>3</v>
      </c>
      <c r="J66" s="47">
        <v>730711.33</v>
      </c>
      <c r="K66" s="47">
        <v>387907.01</v>
      </c>
    </row>
    <row r="67" spans="1:11" x14ac:dyDescent="0.25">
      <c r="A67" s="18" t="s">
        <v>843</v>
      </c>
      <c r="B67" s="18" t="s">
        <v>37</v>
      </c>
      <c r="C67" s="32">
        <v>6</v>
      </c>
      <c r="D67" s="47">
        <v>2428775.38</v>
      </c>
      <c r="E67" s="47">
        <v>1288953.6199999999</v>
      </c>
      <c r="F67" s="32">
        <v>0</v>
      </c>
      <c r="G67" s="47">
        <v>0</v>
      </c>
      <c r="H67" s="47">
        <v>0</v>
      </c>
      <c r="I67" s="32">
        <v>6</v>
      </c>
      <c r="J67" s="47">
        <v>2428775.38</v>
      </c>
      <c r="K67" s="47">
        <v>1288953.6199999999</v>
      </c>
    </row>
    <row r="68" spans="1:11" x14ac:dyDescent="0.25">
      <c r="A68" s="18" t="s">
        <v>856</v>
      </c>
      <c r="B68" s="18" t="s">
        <v>37</v>
      </c>
      <c r="C68" s="32">
        <v>0</v>
      </c>
      <c r="D68" s="47">
        <v>0</v>
      </c>
      <c r="E68" s="47">
        <v>0</v>
      </c>
      <c r="F68" s="32">
        <v>1</v>
      </c>
      <c r="G68" s="47">
        <v>640535.62</v>
      </c>
      <c r="H68" s="47">
        <v>0</v>
      </c>
      <c r="I68" s="32">
        <v>1</v>
      </c>
      <c r="J68" s="47">
        <v>640535.62</v>
      </c>
      <c r="K68" s="47">
        <v>0</v>
      </c>
    </row>
    <row r="69" spans="1:11" x14ac:dyDescent="0.25">
      <c r="A69" s="18" t="s">
        <v>858</v>
      </c>
      <c r="B69" s="18" t="s">
        <v>37</v>
      </c>
      <c r="C69" s="32">
        <v>3</v>
      </c>
      <c r="D69" s="47">
        <v>1418607.3599999999</v>
      </c>
      <c r="E69" s="47">
        <v>65364.9</v>
      </c>
      <c r="F69" s="32">
        <v>0</v>
      </c>
      <c r="G69" s="47">
        <v>0</v>
      </c>
      <c r="H69" s="47">
        <v>0</v>
      </c>
      <c r="I69" s="32">
        <v>3</v>
      </c>
      <c r="J69" s="47">
        <v>1418607.3599999999</v>
      </c>
      <c r="K69" s="47">
        <v>65364.9</v>
      </c>
    </row>
    <row r="70" spans="1:11" x14ac:dyDescent="0.25">
      <c r="A70" s="18" t="s">
        <v>862</v>
      </c>
      <c r="B70" s="18" t="s">
        <v>37</v>
      </c>
      <c r="C70" s="32">
        <v>4</v>
      </c>
      <c r="D70" s="47">
        <v>1818713.17</v>
      </c>
      <c r="E70" s="47">
        <v>750445.29999999993</v>
      </c>
      <c r="F70" s="32">
        <v>0</v>
      </c>
      <c r="G70" s="47">
        <v>0</v>
      </c>
      <c r="H70" s="47">
        <v>0</v>
      </c>
      <c r="I70" s="32">
        <v>4</v>
      </c>
      <c r="J70" s="47">
        <v>1818713.17</v>
      </c>
      <c r="K70" s="47">
        <v>750445.29999999993</v>
      </c>
    </row>
    <row r="71" spans="1:11" x14ac:dyDescent="0.25">
      <c r="A71" s="18" t="s">
        <v>863</v>
      </c>
      <c r="B71" s="18" t="s">
        <v>37</v>
      </c>
      <c r="C71" s="32">
        <v>4</v>
      </c>
      <c r="D71" s="47">
        <v>3754197.7599999993</v>
      </c>
      <c r="E71" s="47">
        <v>1833629.98</v>
      </c>
      <c r="F71" s="32">
        <v>0</v>
      </c>
      <c r="G71" s="47">
        <v>0</v>
      </c>
      <c r="H71" s="47">
        <v>0</v>
      </c>
      <c r="I71" s="32">
        <v>4</v>
      </c>
      <c r="J71" s="47">
        <v>3754197.7599999993</v>
      </c>
      <c r="K71" s="47">
        <v>1833629.98</v>
      </c>
    </row>
    <row r="72" spans="1:11" x14ac:dyDescent="0.25">
      <c r="A72" s="18" t="s">
        <v>2852</v>
      </c>
      <c r="B72" s="18" t="s">
        <v>37</v>
      </c>
      <c r="C72" s="32">
        <v>0</v>
      </c>
      <c r="D72" s="47">
        <v>0</v>
      </c>
      <c r="E72" s="47">
        <v>0</v>
      </c>
      <c r="F72" s="32">
        <v>1</v>
      </c>
      <c r="G72" s="47">
        <v>140300.60999999999</v>
      </c>
      <c r="H72" s="47">
        <v>71867.88</v>
      </c>
      <c r="I72" s="32">
        <v>1</v>
      </c>
      <c r="J72" s="47">
        <v>140300.60999999999</v>
      </c>
      <c r="K72" s="47">
        <v>71867.88</v>
      </c>
    </row>
    <row r="73" spans="1:11" x14ac:dyDescent="0.25">
      <c r="A73" s="18" t="s">
        <v>891</v>
      </c>
      <c r="B73" s="18" t="s">
        <v>37</v>
      </c>
      <c r="C73" s="32">
        <v>3</v>
      </c>
      <c r="D73" s="47">
        <v>1010815.34</v>
      </c>
      <c r="E73" s="47">
        <v>886357.7</v>
      </c>
      <c r="F73" s="32">
        <v>0</v>
      </c>
      <c r="G73" s="47">
        <v>0</v>
      </c>
      <c r="H73" s="47">
        <v>0</v>
      </c>
      <c r="I73" s="32">
        <v>3</v>
      </c>
      <c r="J73" s="47">
        <v>1010815.34</v>
      </c>
      <c r="K73" s="47">
        <v>886357.7</v>
      </c>
    </row>
    <row r="74" spans="1:11" x14ac:dyDescent="0.25">
      <c r="A74" s="18" t="s">
        <v>896</v>
      </c>
      <c r="B74" s="18" t="s">
        <v>37</v>
      </c>
      <c r="C74" s="32">
        <v>20</v>
      </c>
      <c r="D74" s="47">
        <v>667350.69000000006</v>
      </c>
      <c r="E74" s="47">
        <v>750978.48000000021</v>
      </c>
      <c r="F74" s="32">
        <v>0</v>
      </c>
      <c r="G74" s="47">
        <v>0</v>
      </c>
      <c r="H74" s="47">
        <v>0</v>
      </c>
      <c r="I74" s="32">
        <v>20</v>
      </c>
      <c r="J74" s="47">
        <v>667350.69000000006</v>
      </c>
      <c r="K74" s="47">
        <v>750978.48000000021</v>
      </c>
    </row>
    <row r="75" spans="1:11" x14ac:dyDescent="0.25">
      <c r="A75" s="18" t="s">
        <v>905</v>
      </c>
      <c r="B75" s="18" t="s">
        <v>37</v>
      </c>
      <c r="C75" s="32">
        <v>0</v>
      </c>
      <c r="D75" s="47">
        <v>0</v>
      </c>
      <c r="E75" s="47">
        <v>0</v>
      </c>
      <c r="F75" s="32">
        <v>25</v>
      </c>
      <c r="G75" s="47">
        <v>11750774.579999998</v>
      </c>
      <c r="H75" s="47">
        <v>4070081.19</v>
      </c>
      <c r="I75" s="32">
        <v>25</v>
      </c>
      <c r="J75" s="47">
        <v>11750774.579999998</v>
      </c>
      <c r="K75" s="47">
        <v>4070081.19</v>
      </c>
    </row>
    <row r="76" spans="1:11" x14ac:dyDescent="0.25">
      <c r="A76" s="18" t="s">
        <v>922</v>
      </c>
      <c r="B76" s="18" t="s">
        <v>37</v>
      </c>
      <c r="C76" s="32">
        <v>4</v>
      </c>
      <c r="D76" s="47">
        <v>2415474.7399999998</v>
      </c>
      <c r="E76" s="47">
        <v>59765.48</v>
      </c>
      <c r="F76" s="32">
        <v>0</v>
      </c>
      <c r="G76" s="47">
        <v>0</v>
      </c>
      <c r="H76" s="47">
        <v>0</v>
      </c>
      <c r="I76" s="32">
        <v>4</v>
      </c>
      <c r="J76" s="47">
        <v>2415474.7399999998</v>
      </c>
      <c r="K76" s="47">
        <v>59765.48</v>
      </c>
    </row>
    <row r="77" spans="1:11" x14ac:dyDescent="0.25">
      <c r="A77" s="18" t="s">
        <v>931</v>
      </c>
      <c r="B77" s="18" t="s">
        <v>37</v>
      </c>
      <c r="C77" s="32">
        <v>5</v>
      </c>
      <c r="D77" s="47">
        <v>2978848.5699999994</v>
      </c>
      <c r="E77" s="47">
        <v>2013447.0899999996</v>
      </c>
      <c r="F77" s="32">
        <v>0</v>
      </c>
      <c r="G77" s="47">
        <v>0</v>
      </c>
      <c r="H77" s="47">
        <v>0</v>
      </c>
      <c r="I77" s="32">
        <v>5</v>
      </c>
      <c r="J77" s="47">
        <v>2978848.5699999994</v>
      </c>
      <c r="K77" s="47">
        <v>2013447.0899999996</v>
      </c>
    </row>
    <row r="78" spans="1:11" x14ac:dyDescent="0.25">
      <c r="A78" s="18" t="s">
        <v>949</v>
      </c>
      <c r="B78" s="18" t="s">
        <v>37</v>
      </c>
      <c r="C78" s="32">
        <v>7</v>
      </c>
      <c r="D78" s="47">
        <v>7106617.6599999992</v>
      </c>
      <c r="E78" s="47">
        <v>3731125.1100000003</v>
      </c>
      <c r="F78" s="32">
        <v>0</v>
      </c>
      <c r="G78" s="47">
        <v>0</v>
      </c>
      <c r="H78" s="47">
        <v>0</v>
      </c>
      <c r="I78" s="32">
        <v>7</v>
      </c>
      <c r="J78" s="47">
        <v>7106617.6599999992</v>
      </c>
      <c r="K78" s="47">
        <v>3731125.1100000003</v>
      </c>
    </row>
    <row r="79" spans="1:11" x14ac:dyDescent="0.25">
      <c r="A79" s="18" t="s">
        <v>963</v>
      </c>
      <c r="B79" s="18" t="s">
        <v>37</v>
      </c>
      <c r="C79" s="32">
        <v>7</v>
      </c>
      <c r="D79" s="47">
        <v>4274415.5999999996</v>
      </c>
      <c r="E79" s="47">
        <v>400675.01</v>
      </c>
      <c r="F79" s="32">
        <v>0</v>
      </c>
      <c r="G79" s="47">
        <v>0</v>
      </c>
      <c r="H79" s="47">
        <v>0</v>
      </c>
      <c r="I79" s="32">
        <v>7</v>
      </c>
      <c r="J79" s="47">
        <v>4274415.5999999996</v>
      </c>
      <c r="K79" s="47">
        <v>400675.01</v>
      </c>
    </row>
    <row r="80" spans="1:11" x14ac:dyDescent="0.25">
      <c r="A80" s="18" t="s">
        <v>2710</v>
      </c>
      <c r="B80" s="18" t="s">
        <v>37</v>
      </c>
      <c r="C80" s="32">
        <v>4</v>
      </c>
      <c r="D80" s="47">
        <v>1955785.03</v>
      </c>
      <c r="E80" s="47">
        <v>1606941.4900000002</v>
      </c>
      <c r="F80" s="32">
        <v>0</v>
      </c>
      <c r="G80" s="47">
        <v>0</v>
      </c>
      <c r="H80" s="47">
        <v>0</v>
      </c>
      <c r="I80" s="32">
        <v>4</v>
      </c>
      <c r="J80" s="47">
        <v>1955785.03</v>
      </c>
      <c r="K80" s="47">
        <v>1606941.4900000002</v>
      </c>
    </row>
    <row r="81" spans="1:11" x14ac:dyDescent="0.25">
      <c r="A81" s="18" t="s">
        <v>970</v>
      </c>
      <c r="B81" s="18" t="s">
        <v>37</v>
      </c>
      <c r="C81" s="32">
        <v>10</v>
      </c>
      <c r="D81" s="47">
        <v>1621708.87</v>
      </c>
      <c r="E81" s="47">
        <v>634387.49</v>
      </c>
      <c r="F81" s="32">
        <v>0</v>
      </c>
      <c r="G81" s="47">
        <v>0</v>
      </c>
      <c r="H81" s="47">
        <v>0</v>
      </c>
      <c r="I81" s="32">
        <v>10</v>
      </c>
      <c r="J81" s="47">
        <v>1621708.87</v>
      </c>
      <c r="K81" s="47">
        <v>634387.49</v>
      </c>
    </row>
    <row r="82" spans="1:11" x14ac:dyDescent="0.25">
      <c r="A82" s="18" t="s">
        <v>2834</v>
      </c>
      <c r="B82" s="18" t="s">
        <v>37</v>
      </c>
      <c r="C82" s="32">
        <v>6</v>
      </c>
      <c r="D82" s="47">
        <v>6735923.9400000013</v>
      </c>
      <c r="E82" s="47">
        <v>229131.43000000002</v>
      </c>
      <c r="F82" s="32">
        <v>1</v>
      </c>
      <c r="G82" s="47">
        <v>163054.39000000001</v>
      </c>
      <c r="H82" s="47">
        <v>62447.55</v>
      </c>
      <c r="I82" s="32">
        <v>7</v>
      </c>
      <c r="J82" s="47">
        <v>6898978.330000001</v>
      </c>
      <c r="K82" s="47">
        <v>291578.98000000004</v>
      </c>
    </row>
    <row r="83" spans="1:11" x14ac:dyDescent="0.25">
      <c r="A83" s="18" t="s">
        <v>981</v>
      </c>
      <c r="B83" s="18" t="s">
        <v>37</v>
      </c>
      <c r="C83" s="32">
        <v>8</v>
      </c>
      <c r="D83" s="47">
        <v>12994068.490000002</v>
      </c>
      <c r="E83" s="47">
        <v>4087764.2600000002</v>
      </c>
      <c r="F83" s="32">
        <v>0</v>
      </c>
      <c r="G83" s="47">
        <v>0</v>
      </c>
      <c r="H83" s="47">
        <v>0</v>
      </c>
      <c r="I83" s="32">
        <v>8</v>
      </c>
      <c r="J83" s="47">
        <v>12994068.490000002</v>
      </c>
      <c r="K83" s="47">
        <v>4087764.2600000002</v>
      </c>
    </row>
    <row r="84" spans="1:11" x14ac:dyDescent="0.25">
      <c r="A84" s="18" t="s">
        <v>989</v>
      </c>
      <c r="B84" s="18" t="s">
        <v>37</v>
      </c>
      <c r="C84" s="32">
        <v>0</v>
      </c>
      <c r="D84" s="47">
        <v>0</v>
      </c>
      <c r="E84" s="47">
        <v>0</v>
      </c>
      <c r="F84" s="32">
        <v>3</v>
      </c>
      <c r="G84" s="47">
        <v>1855936.85</v>
      </c>
      <c r="H84" s="47">
        <v>853235.87999999989</v>
      </c>
      <c r="I84" s="32">
        <v>3</v>
      </c>
      <c r="J84" s="47">
        <v>1855936.85</v>
      </c>
      <c r="K84" s="47">
        <v>853235.87999999989</v>
      </c>
    </row>
    <row r="85" spans="1:11" x14ac:dyDescent="0.25">
      <c r="A85" s="18" t="s">
        <v>995</v>
      </c>
      <c r="B85" s="18" t="s">
        <v>37</v>
      </c>
      <c r="C85" s="32">
        <v>18</v>
      </c>
      <c r="D85" s="47">
        <v>138585441.94678003</v>
      </c>
      <c r="E85" s="47">
        <v>75314744.390000015</v>
      </c>
      <c r="F85" s="32">
        <v>0</v>
      </c>
      <c r="G85" s="47">
        <v>0</v>
      </c>
      <c r="H85" s="47">
        <v>0</v>
      </c>
      <c r="I85" s="32">
        <v>18</v>
      </c>
      <c r="J85" s="47">
        <v>138585441.94678003</v>
      </c>
      <c r="K85" s="47">
        <v>75314744.390000015</v>
      </c>
    </row>
    <row r="86" spans="1:11" x14ac:dyDescent="0.25">
      <c r="A86" s="18" t="s">
        <v>1002</v>
      </c>
      <c r="B86" s="18" t="s">
        <v>37</v>
      </c>
      <c r="C86" s="32">
        <v>0</v>
      </c>
      <c r="D86" s="47">
        <v>0</v>
      </c>
      <c r="E86" s="47">
        <v>0</v>
      </c>
      <c r="F86" s="32">
        <v>8</v>
      </c>
      <c r="G86" s="47">
        <v>4208992.5199999996</v>
      </c>
      <c r="H86" s="47">
        <v>2342163.3400000003</v>
      </c>
      <c r="I86" s="32">
        <v>8</v>
      </c>
      <c r="J86" s="47">
        <v>4208992.5199999996</v>
      </c>
      <c r="K86" s="47">
        <v>2342163.3400000003</v>
      </c>
    </row>
    <row r="87" spans="1:11" x14ac:dyDescent="0.25">
      <c r="A87" s="18" t="s">
        <v>1031</v>
      </c>
      <c r="B87" s="18" t="s">
        <v>37</v>
      </c>
      <c r="C87" s="32">
        <v>0</v>
      </c>
      <c r="D87" s="47">
        <v>0</v>
      </c>
      <c r="E87" s="47">
        <v>0</v>
      </c>
      <c r="F87" s="32">
        <v>4</v>
      </c>
      <c r="G87" s="47">
        <v>235646.78</v>
      </c>
      <c r="H87" s="47">
        <v>181935.07</v>
      </c>
      <c r="I87" s="32">
        <v>4</v>
      </c>
      <c r="J87" s="47">
        <v>235646.78</v>
      </c>
      <c r="K87" s="47">
        <v>181935.07</v>
      </c>
    </row>
    <row r="88" spans="1:11" x14ac:dyDescent="0.25">
      <c r="A88" s="18" t="s">
        <v>1039</v>
      </c>
      <c r="B88" s="18" t="s">
        <v>37</v>
      </c>
      <c r="C88" s="32">
        <v>2</v>
      </c>
      <c r="D88" s="47">
        <v>2210236.35</v>
      </c>
      <c r="E88" s="47">
        <v>1035562.04</v>
      </c>
      <c r="F88" s="32">
        <v>0</v>
      </c>
      <c r="G88" s="47">
        <v>0</v>
      </c>
      <c r="H88" s="47">
        <v>0</v>
      </c>
      <c r="I88" s="32">
        <v>2</v>
      </c>
      <c r="J88" s="47">
        <v>2210236.35</v>
      </c>
      <c r="K88" s="47">
        <v>1035562.04</v>
      </c>
    </row>
    <row r="89" spans="1:11" x14ac:dyDescent="0.25">
      <c r="A89" s="18" t="s">
        <v>1040</v>
      </c>
      <c r="B89" s="18" t="s">
        <v>37</v>
      </c>
      <c r="C89" s="32">
        <v>0</v>
      </c>
      <c r="D89" s="47">
        <v>0</v>
      </c>
      <c r="E89" s="47">
        <v>0</v>
      </c>
      <c r="F89" s="32">
        <v>19</v>
      </c>
      <c r="G89" s="47">
        <v>4012923.7000000007</v>
      </c>
      <c r="H89" s="47">
        <v>1634285.7099999997</v>
      </c>
      <c r="I89" s="32">
        <v>19</v>
      </c>
      <c r="J89" s="47">
        <v>4012923.7000000007</v>
      </c>
      <c r="K89" s="47">
        <v>1634285.7099999997</v>
      </c>
    </row>
    <row r="90" spans="1:11" x14ac:dyDescent="0.25">
      <c r="A90" s="18" t="s">
        <v>2866</v>
      </c>
      <c r="B90" s="18" t="s">
        <v>37</v>
      </c>
      <c r="C90" s="32">
        <v>3</v>
      </c>
      <c r="D90" s="47">
        <v>581636.41999999993</v>
      </c>
      <c r="E90" s="47">
        <v>303131.57999999996</v>
      </c>
      <c r="F90" s="32">
        <v>0</v>
      </c>
      <c r="G90" s="47">
        <v>0</v>
      </c>
      <c r="H90" s="47">
        <v>0</v>
      </c>
      <c r="I90" s="32">
        <v>3</v>
      </c>
      <c r="J90" s="47">
        <v>581636.41999999993</v>
      </c>
      <c r="K90" s="47">
        <v>303131.57999999996</v>
      </c>
    </row>
    <row r="91" spans="1:11" x14ac:dyDescent="0.25">
      <c r="A91" s="18" t="s">
        <v>1053</v>
      </c>
      <c r="B91" s="18" t="s">
        <v>1057</v>
      </c>
      <c r="C91" s="32">
        <v>1</v>
      </c>
      <c r="D91" s="47">
        <v>13988.32</v>
      </c>
      <c r="E91" s="47">
        <v>0</v>
      </c>
      <c r="F91" s="32">
        <v>0</v>
      </c>
      <c r="G91" s="47">
        <v>0</v>
      </c>
      <c r="H91" s="47">
        <v>0</v>
      </c>
      <c r="I91" s="32">
        <v>1</v>
      </c>
      <c r="J91" s="47">
        <v>13988.32</v>
      </c>
      <c r="K91" s="47">
        <v>0</v>
      </c>
    </row>
    <row r="92" spans="1:11" x14ac:dyDescent="0.25">
      <c r="A92" s="18" t="s">
        <v>1053</v>
      </c>
      <c r="B92" s="18" t="s">
        <v>37</v>
      </c>
      <c r="C92" s="32">
        <v>10</v>
      </c>
      <c r="D92" s="47">
        <v>38889726.899999999</v>
      </c>
      <c r="E92" s="47">
        <v>15374955.860000001</v>
      </c>
      <c r="F92" s="32">
        <v>6</v>
      </c>
      <c r="G92" s="47">
        <v>11057561.280000003</v>
      </c>
      <c r="H92" s="47">
        <v>3440411.84</v>
      </c>
      <c r="I92" s="32">
        <v>16</v>
      </c>
      <c r="J92" s="47">
        <v>49947288.18</v>
      </c>
      <c r="K92" s="47">
        <v>18815367.700000003</v>
      </c>
    </row>
    <row r="93" spans="1:11" x14ac:dyDescent="0.25">
      <c r="A93" s="18" t="s">
        <v>1058</v>
      </c>
      <c r="B93" s="18" t="s">
        <v>37</v>
      </c>
      <c r="C93" s="32">
        <v>10</v>
      </c>
      <c r="D93" s="47">
        <v>9154655.1599999983</v>
      </c>
      <c r="E93" s="47">
        <v>1515700.28</v>
      </c>
      <c r="F93" s="32">
        <v>6</v>
      </c>
      <c r="G93" s="47">
        <v>1783237.74</v>
      </c>
      <c r="H93" s="47">
        <v>2607464.9500000002</v>
      </c>
      <c r="I93" s="32">
        <v>16</v>
      </c>
      <c r="J93" s="47">
        <v>10937892.899999999</v>
      </c>
      <c r="K93" s="47">
        <v>4123165.2300000004</v>
      </c>
    </row>
    <row r="94" spans="1:11" x14ac:dyDescent="0.25">
      <c r="A94" s="18" t="s">
        <v>1071</v>
      </c>
      <c r="B94" s="18" t="s">
        <v>37</v>
      </c>
      <c r="C94" s="32">
        <v>7</v>
      </c>
      <c r="D94" s="47">
        <v>2437856.23</v>
      </c>
      <c r="E94" s="47">
        <v>1269615.42</v>
      </c>
      <c r="F94" s="32">
        <v>0</v>
      </c>
      <c r="G94" s="47">
        <v>0</v>
      </c>
      <c r="H94" s="47">
        <v>0</v>
      </c>
      <c r="I94" s="32">
        <v>7</v>
      </c>
      <c r="J94" s="47">
        <v>2437856.23</v>
      </c>
      <c r="K94" s="47">
        <v>1269615.42</v>
      </c>
    </row>
    <row r="95" spans="1:11" x14ac:dyDescent="0.25">
      <c r="A95" s="18" t="s">
        <v>1081</v>
      </c>
      <c r="B95" s="18" t="s">
        <v>37</v>
      </c>
      <c r="C95" s="32">
        <v>1</v>
      </c>
      <c r="D95" s="47">
        <v>539865.31000000006</v>
      </c>
      <c r="E95" s="47">
        <v>382644.76</v>
      </c>
      <c r="F95" s="32">
        <v>1</v>
      </c>
      <c r="G95" s="47">
        <v>501938.73</v>
      </c>
      <c r="H95" s="47">
        <v>0</v>
      </c>
      <c r="I95" s="32">
        <v>2</v>
      </c>
      <c r="J95" s="47">
        <v>1041804.04</v>
      </c>
      <c r="K95" s="47">
        <v>382644.76</v>
      </c>
    </row>
    <row r="96" spans="1:11" x14ac:dyDescent="0.25">
      <c r="A96" s="18" t="s">
        <v>1089</v>
      </c>
      <c r="B96" s="18" t="s">
        <v>37</v>
      </c>
      <c r="C96" s="32">
        <v>1</v>
      </c>
      <c r="D96" s="47">
        <v>275898.40000000002</v>
      </c>
      <c r="E96" s="47">
        <v>215417.23</v>
      </c>
      <c r="F96" s="32">
        <v>0</v>
      </c>
      <c r="G96" s="47">
        <v>0</v>
      </c>
      <c r="H96" s="47">
        <v>0</v>
      </c>
      <c r="I96" s="32">
        <v>1</v>
      </c>
      <c r="J96" s="47">
        <v>275898.40000000002</v>
      </c>
      <c r="K96" s="47">
        <v>215417.23</v>
      </c>
    </row>
    <row r="97" spans="1:11" x14ac:dyDescent="0.25">
      <c r="A97" s="18" t="s">
        <v>2716</v>
      </c>
      <c r="B97" s="18" t="s">
        <v>37</v>
      </c>
      <c r="C97" s="32">
        <v>0</v>
      </c>
      <c r="D97" s="47">
        <v>0</v>
      </c>
      <c r="E97" s="47">
        <v>0</v>
      </c>
      <c r="F97" s="32">
        <v>11</v>
      </c>
      <c r="G97" s="47">
        <v>30876789.48</v>
      </c>
      <c r="H97" s="47">
        <v>1572571.5</v>
      </c>
      <c r="I97" s="32">
        <v>11</v>
      </c>
      <c r="J97" s="47">
        <v>30876789.48</v>
      </c>
      <c r="K97" s="47">
        <v>1572571.5</v>
      </c>
    </row>
    <row r="98" spans="1:11" x14ac:dyDescent="0.25">
      <c r="A98" s="18" t="s">
        <v>1090</v>
      </c>
      <c r="B98" s="18" t="s">
        <v>1091</v>
      </c>
      <c r="C98" s="32">
        <v>0</v>
      </c>
      <c r="D98" s="47">
        <v>0</v>
      </c>
      <c r="E98" s="47">
        <v>0</v>
      </c>
      <c r="F98" s="32">
        <v>1</v>
      </c>
      <c r="G98" s="47">
        <v>816907.7</v>
      </c>
      <c r="H98" s="47">
        <v>724768.1</v>
      </c>
      <c r="I98" s="32">
        <v>1</v>
      </c>
      <c r="J98" s="47">
        <v>816907.7</v>
      </c>
      <c r="K98" s="47">
        <v>724768.1</v>
      </c>
    </row>
    <row r="99" spans="1:11" x14ac:dyDescent="0.25">
      <c r="A99" s="18" t="s">
        <v>1090</v>
      </c>
      <c r="B99" s="18" t="s">
        <v>37</v>
      </c>
      <c r="C99" s="32">
        <v>11</v>
      </c>
      <c r="D99" s="47">
        <v>36127883.359999999</v>
      </c>
      <c r="E99" s="47">
        <v>10646743.680000002</v>
      </c>
      <c r="F99" s="32">
        <v>10</v>
      </c>
      <c r="G99" s="47">
        <v>7621586.6400000006</v>
      </c>
      <c r="H99" s="47">
        <v>2544525.4300000006</v>
      </c>
      <c r="I99" s="32">
        <v>21</v>
      </c>
      <c r="J99" s="47">
        <v>43749470</v>
      </c>
      <c r="K99" s="47">
        <v>13191269.110000003</v>
      </c>
    </row>
    <row r="100" spans="1:11" x14ac:dyDescent="0.25">
      <c r="A100" s="18" t="s">
        <v>1131</v>
      </c>
      <c r="B100" s="18" t="s">
        <v>37</v>
      </c>
      <c r="C100" s="32">
        <v>5</v>
      </c>
      <c r="D100" s="47">
        <v>512097.99</v>
      </c>
      <c r="E100" s="47">
        <v>623443.98</v>
      </c>
      <c r="F100" s="32">
        <v>0</v>
      </c>
      <c r="G100" s="47">
        <v>0</v>
      </c>
      <c r="H100" s="47">
        <v>0</v>
      </c>
      <c r="I100" s="32">
        <v>5</v>
      </c>
      <c r="J100" s="47">
        <v>512097.99</v>
      </c>
      <c r="K100" s="47">
        <v>623443.98</v>
      </c>
    </row>
    <row r="101" spans="1:11" x14ac:dyDescent="0.25">
      <c r="A101" s="18" t="s">
        <v>1140</v>
      </c>
      <c r="B101" s="18" t="s">
        <v>37</v>
      </c>
      <c r="C101" s="32">
        <v>0</v>
      </c>
      <c r="D101" s="47">
        <v>0</v>
      </c>
      <c r="E101" s="47">
        <v>0</v>
      </c>
      <c r="F101" s="32">
        <v>1</v>
      </c>
      <c r="G101" s="47">
        <v>79990</v>
      </c>
      <c r="H101" s="47">
        <v>0</v>
      </c>
      <c r="I101" s="32">
        <v>1</v>
      </c>
      <c r="J101" s="47">
        <v>79990</v>
      </c>
      <c r="K101" s="47">
        <v>0</v>
      </c>
    </row>
    <row r="102" spans="1:11" x14ac:dyDescent="0.25">
      <c r="A102" s="18" t="s">
        <v>1145</v>
      </c>
      <c r="B102" s="18" t="s">
        <v>37</v>
      </c>
      <c r="C102" s="32">
        <v>0</v>
      </c>
      <c r="D102" s="47">
        <v>0</v>
      </c>
      <c r="E102" s="47">
        <v>0</v>
      </c>
      <c r="F102" s="32">
        <v>7</v>
      </c>
      <c r="G102" s="47">
        <v>3526602.1499999994</v>
      </c>
      <c r="H102" s="47">
        <v>1944281.7</v>
      </c>
      <c r="I102" s="32">
        <v>7</v>
      </c>
      <c r="J102" s="47">
        <v>3526602.1499999994</v>
      </c>
      <c r="K102" s="47">
        <v>1944281.7</v>
      </c>
    </row>
    <row r="103" spans="1:11" x14ac:dyDescent="0.25">
      <c r="A103" s="18" t="s">
        <v>1147</v>
      </c>
      <c r="B103" s="18" t="s">
        <v>37</v>
      </c>
      <c r="C103" s="32">
        <v>0</v>
      </c>
      <c r="D103" s="47">
        <v>0</v>
      </c>
      <c r="E103" s="47">
        <v>0</v>
      </c>
      <c r="F103" s="32">
        <v>8</v>
      </c>
      <c r="G103" s="47">
        <v>3086568.73</v>
      </c>
      <c r="H103" s="47">
        <v>1653856.4700000002</v>
      </c>
      <c r="I103" s="32">
        <v>8</v>
      </c>
      <c r="J103" s="47">
        <v>3086568.73</v>
      </c>
      <c r="K103" s="47">
        <v>1653856.4700000002</v>
      </c>
    </row>
    <row r="104" spans="1:11" x14ac:dyDescent="0.25">
      <c r="A104" s="18" t="s">
        <v>1152</v>
      </c>
      <c r="B104" s="18" t="s">
        <v>37</v>
      </c>
      <c r="C104" s="32">
        <v>6</v>
      </c>
      <c r="D104" s="47">
        <v>2658644.2899999996</v>
      </c>
      <c r="E104" s="47">
        <v>355861.28</v>
      </c>
      <c r="F104" s="32">
        <v>0</v>
      </c>
      <c r="G104" s="47">
        <v>0</v>
      </c>
      <c r="H104" s="47">
        <v>0</v>
      </c>
      <c r="I104" s="32">
        <v>6</v>
      </c>
      <c r="J104" s="47">
        <v>2658644.2899999996</v>
      </c>
      <c r="K104" s="47">
        <v>355861.28</v>
      </c>
    </row>
    <row r="105" spans="1:11" x14ac:dyDescent="0.25">
      <c r="A105" s="18" t="s">
        <v>1175</v>
      </c>
      <c r="B105" s="18" t="s">
        <v>37</v>
      </c>
      <c r="C105" s="32">
        <v>7</v>
      </c>
      <c r="D105" s="47">
        <v>14501600.369999999</v>
      </c>
      <c r="E105" s="47">
        <v>5653475.9900000002</v>
      </c>
      <c r="F105" s="32">
        <v>0</v>
      </c>
      <c r="G105" s="47">
        <v>0</v>
      </c>
      <c r="H105" s="47">
        <v>0</v>
      </c>
      <c r="I105" s="32">
        <v>7</v>
      </c>
      <c r="J105" s="47">
        <v>14501600.369999999</v>
      </c>
      <c r="K105" s="47">
        <v>5653475.9900000002</v>
      </c>
    </row>
    <row r="106" spans="1:11" x14ac:dyDescent="0.25">
      <c r="A106" s="18" t="s">
        <v>1187</v>
      </c>
      <c r="B106" s="18" t="s">
        <v>37</v>
      </c>
      <c r="C106" s="32">
        <v>4</v>
      </c>
      <c r="D106" s="47">
        <v>7048055.5499999998</v>
      </c>
      <c r="E106" s="47">
        <v>4149334.77</v>
      </c>
      <c r="F106" s="32">
        <v>0</v>
      </c>
      <c r="G106" s="47">
        <v>0</v>
      </c>
      <c r="H106" s="47">
        <v>0</v>
      </c>
      <c r="I106" s="32">
        <v>4</v>
      </c>
      <c r="J106" s="47">
        <v>7048055.5499999998</v>
      </c>
      <c r="K106" s="47">
        <v>4149334.77</v>
      </c>
    </row>
    <row r="107" spans="1:11" x14ac:dyDescent="0.25">
      <c r="A107" s="18" t="s">
        <v>1211</v>
      </c>
      <c r="B107" s="18" t="s">
        <v>37</v>
      </c>
      <c r="C107" s="32">
        <v>3</v>
      </c>
      <c r="D107" s="47">
        <v>1197017.25</v>
      </c>
      <c r="E107" s="47">
        <v>556934.48</v>
      </c>
      <c r="F107" s="32">
        <v>0</v>
      </c>
      <c r="G107" s="47">
        <v>0</v>
      </c>
      <c r="H107" s="47">
        <v>0</v>
      </c>
      <c r="I107" s="32">
        <v>3</v>
      </c>
      <c r="J107" s="47">
        <v>1197017.25</v>
      </c>
      <c r="K107" s="47">
        <v>556934.48</v>
      </c>
    </row>
    <row r="108" spans="1:11" x14ac:dyDescent="0.25">
      <c r="A108" s="18" t="s">
        <v>1219</v>
      </c>
      <c r="B108" s="18" t="s">
        <v>37</v>
      </c>
      <c r="C108" s="32">
        <v>2</v>
      </c>
      <c r="D108" s="47">
        <v>102407.37</v>
      </c>
      <c r="E108" s="47">
        <v>74170.209999999992</v>
      </c>
      <c r="F108" s="32">
        <v>0</v>
      </c>
      <c r="G108" s="47">
        <v>0</v>
      </c>
      <c r="H108" s="47">
        <v>0</v>
      </c>
      <c r="I108" s="32">
        <v>2</v>
      </c>
      <c r="J108" s="47">
        <v>102407.37</v>
      </c>
      <c r="K108" s="47">
        <v>74170.209999999992</v>
      </c>
    </row>
    <row r="109" spans="1:11" x14ac:dyDescent="0.25">
      <c r="A109" s="18" t="s">
        <v>1220</v>
      </c>
      <c r="B109" s="18" t="s">
        <v>125</v>
      </c>
      <c r="C109" s="32">
        <v>0</v>
      </c>
      <c r="D109" s="47">
        <v>0</v>
      </c>
      <c r="E109" s="47">
        <v>0</v>
      </c>
      <c r="F109" s="32">
        <v>1</v>
      </c>
      <c r="G109" s="47">
        <v>142609.63</v>
      </c>
      <c r="H109" s="47">
        <v>118165.08</v>
      </c>
      <c r="I109" s="32">
        <v>1</v>
      </c>
      <c r="J109" s="47">
        <v>142609.63</v>
      </c>
      <c r="K109" s="47">
        <v>118165.08</v>
      </c>
    </row>
    <row r="110" spans="1:11" x14ac:dyDescent="0.25">
      <c r="A110" s="18" t="s">
        <v>1220</v>
      </c>
      <c r="B110" s="18" t="s">
        <v>37</v>
      </c>
      <c r="C110" s="32">
        <v>4</v>
      </c>
      <c r="D110" s="47">
        <v>3027373.38</v>
      </c>
      <c r="E110" s="47">
        <v>921493.04</v>
      </c>
      <c r="F110" s="32">
        <v>0</v>
      </c>
      <c r="G110" s="47">
        <v>0</v>
      </c>
      <c r="H110" s="47">
        <v>0</v>
      </c>
      <c r="I110" s="32">
        <v>4</v>
      </c>
      <c r="J110" s="47">
        <v>3027373.38</v>
      </c>
      <c r="K110" s="47">
        <v>921493.04</v>
      </c>
    </row>
    <row r="111" spans="1:11" x14ac:dyDescent="0.25">
      <c r="A111" s="18" t="s">
        <v>2765</v>
      </c>
      <c r="B111" s="18" t="s">
        <v>37</v>
      </c>
      <c r="C111" s="32">
        <v>9</v>
      </c>
      <c r="D111" s="47">
        <v>5342683.53</v>
      </c>
      <c r="E111" s="47">
        <v>2952247.0199999996</v>
      </c>
      <c r="F111" s="32">
        <v>0</v>
      </c>
      <c r="G111" s="47">
        <v>0</v>
      </c>
      <c r="H111" s="47">
        <v>0</v>
      </c>
      <c r="I111" s="32">
        <v>9</v>
      </c>
      <c r="J111" s="47">
        <v>5342683.53</v>
      </c>
      <c r="K111" s="47">
        <v>2952247.0199999996</v>
      </c>
    </row>
    <row r="112" spans="1:11" x14ac:dyDescent="0.25">
      <c r="A112" s="18" t="s">
        <v>1256</v>
      </c>
      <c r="B112" s="18" t="s">
        <v>125</v>
      </c>
      <c r="C112" s="32">
        <v>1</v>
      </c>
      <c r="D112" s="47">
        <v>110398.38</v>
      </c>
      <c r="E112" s="47">
        <v>0</v>
      </c>
      <c r="F112" s="32">
        <v>0</v>
      </c>
      <c r="G112" s="47">
        <v>0</v>
      </c>
      <c r="H112" s="47">
        <v>0</v>
      </c>
      <c r="I112" s="32">
        <v>1</v>
      </c>
      <c r="J112" s="47">
        <v>110398.38</v>
      </c>
      <c r="K112" s="47">
        <v>0</v>
      </c>
    </row>
    <row r="113" spans="1:11" x14ac:dyDescent="0.25">
      <c r="A113" s="18" t="s">
        <v>1256</v>
      </c>
      <c r="B113" s="18" t="s">
        <v>37</v>
      </c>
      <c r="C113" s="32">
        <v>0</v>
      </c>
      <c r="D113" s="47">
        <v>0</v>
      </c>
      <c r="E113" s="47">
        <v>0</v>
      </c>
      <c r="F113" s="32">
        <v>5</v>
      </c>
      <c r="G113" s="47">
        <v>2217389.8899999997</v>
      </c>
      <c r="H113" s="47">
        <v>1238124.7899999998</v>
      </c>
      <c r="I113" s="32">
        <v>5</v>
      </c>
      <c r="J113" s="47">
        <v>2217389.8899999997</v>
      </c>
      <c r="K113" s="47">
        <v>1238124.7899999998</v>
      </c>
    </row>
    <row r="114" spans="1:11" x14ac:dyDescent="0.25">
      <c r="A114" s="18" t="s">
        <v>1260</v>
      </c>
      <c r="B114" s="18" t="s">
        <v>37</v>
      </c>
      <c r="C114" s="32">
        <v>0</v>
      </c>
      <c r="D114" s="47">
        <v>0</v>
      </c>
      <c r="E114" s="47">
        <v>0</v>
      </c>
      <c r="F114" s="32">
        <v>10</v>
      </c>
      <c r="G114" s="47">
        <v>6709312.21</v>
      </c>
      <c r="H114" s="47">
        <v>3162297.09</v>
      </c>
      <c r="I114" s="32">
        <v>10</v>
      </c>
      <c r="J114" s="47">
        <v>6709312.21</v>
      </c>
      <c r="K114" s="47">
        <v>3162297.09</v>
      </c>
    </row>
    <row r="115" spans="1:11" x14ac:dyDescent="0.25">
      <c r="A115" s="18" t="s">
        <v>1289</v>
      </c>
      <c r="B115" s="18" t="s">
        <v>37</v>
      </c>
      <c r="C115" s="32">
        <v>2</v>
      </c>
      <c r="D115" s="47">
        <v>692258.79</v>
      </c>
      <c r="E115" s="47">
        <v>138543.13999999998</v>
      </c>
      <c r="F115" s="32">
        <v>0</v>
      </c>
      <c r="G115" s="47">
        <v>0</v>
      </c>
      <c r="H115" s="47">
        <v>0</v>
      </c>
      <c r="I115" s="32">
        <v>2</v>
      </c>
      <c r="J115" s="47">
        <v>692258.79</v>
      </c>
      <c r="K115" s="47">
        <v>138543.13999999998</v>
      </c>
    </row>
    <row r="116" spans="1:11" x14ac:dyDescent="0.25">
      <c r="A116" s="18" t="s">
        <v>1295</v>
      </c>
      <c r="B116" s="18" t="s">
        <v>37</v>
      </c>
      <c r="C116" s="32">
        <v>1</v>
      </c>
      <c r="D116" s="47">
        <v>511455.75</v>
      </c>
      <c r="E116" s="47">
        <v>251772.25</v>
      </c>
      <c r="F116" s="32">
        <v>0</v>
      </c>
      <c r="G116" s="47">
        <v>0</v>
      </c>
      <c r="H116" s="47">
        <v>0</v>
      </c>
      <c r="I116" s="32">
        <v>1</v>
      </c>
      <c r="J116" s="47">
        <v>511455.75</v>
      </c>
      <c r="K116" s="47">
        <v>251772.25</v>
      </c>
    </row>
    <row r="117" spans="1:11" x14ac:dyDescent="0.25">
      <c r="A117" s="18" t="s">
        <v>1297</v>
      </c>
      <c r="B117" s="18" t="s">
        <v>37</v>
      </c>
      <c r="C117" s="32">
        <v>4</v>
      </c>
      <c r="D117" s="47">
        <v>1462715.1700000002</v>
      </c>
      <c r="E117" s="47">
        <v>679919.27</v>
      </c>
      <c r="F117" s="32">
        <v>0</v>
      </c>
      <c r="G117" s="47">
        <v>0</v>
      </c>
      <c r="H117" s="47">
        <v>0</v>
      </c>
      <c r="I117" s="32">
        <v>4</v>
      </c>
      <c r="J117" s="47">
        <v>1462715.1700000002</v>
      </c>
      <c r="K117" s="47">
        <v>679919.27</v>
      </c>
    </row>
    <row r="118" spans="1:11" x14ac:dyDescent="0.25">
      <c r="A118" s="18" t="s">
        <v>1298</v>
      </c>
      <c r="B118" s="18" t="s">
        <v>37</v>
      </c>
      <c r="C118" s="32">
        <v>9</v>
      </c>
      <c r="D118" s="47">
        <v>4995942.1099999994</v>
      </c>
      <c r="E118" s="47">
        <v>1372262.9999999998</v>
      </c>
      <c r="F118" s="32">
        <v>5</v>
      </c>
      <c r="G118" s="47">
        <v>937309.44000000006</v>
      </c>
      <c r="H118" s="47">
        <v>173932.13</v>
      </c>
      <c r="I118" s="32">
        <v>14</v>
      </c>
      <c r="J118" s="47">
        <v>5933251.5499999998</v>
      </c>
      <c r="K118" s="47">
        <v>1546195.13</v>
      </c>
    </row>
    <row r="119" spans="1:11" x14ac:dyDescent="0.25">
      <c r="A119" s="18" t="s">
        <v>1306</v>
      </c>
      <c r="B119" s="18" t="s">
        <v>37</v>
      </c>
      <c r="C119" s="32">
        <v>9</v>
      </c>
      <c r="D119" s="47">
        <v>3708782.7699999996</v>
      </c>
      <c r="E119" s="47">
        <v>1965054.39</v>
      </c>
      <c r="F119" s="32">
        <v>0</v>
      </c>
      <c r="G119" s="47">
        <v>0</v>
      </c>
      <c r="H119" s="47">
        <v>0</v>
      </c>
      <c r="I119" s="32">
        <v>9</v>
      </c>
      <c r="J119" s="47">
        <v>3708782.7699999996</v>
      </c>
      <c r="K119" s="47">
        <v>1965054.39</v>
      </c>
    </row>
    <row r="120" spans="1:11" x14ac:dyDescent="0.25">
      <c r="A120" s="18" t="s">
        <v>29</v>
      </c>
      <c r="B120" s="18" t="s">
        <v>37</v>
      </c>
      <c r="C120" s="32">
        <v>4</v>
      </c>
      <c r="D120" s="47">
        <v>2052677.5599999998</v>
      </c>
      <c r="E120" s="47">
        <v>248842.75</v>
      </c>
      <c r="F120" s="32">
        <v>0</v>
      </c>
      <c r="G120" s="47">
        <v>0</v>
      </c>
      <c r="H120" s="47">
        <v>0</v>
      </c>
      <c r="I120" s="32">
        <v>4</v>
      </c>
      <c r="J120" s="47">
        <v>2052677.5599999998</v>
      </c>
      <c r="K120" s="47">
        <v>248842.75</v>
      </c>
    </row>
    <row r="121" spans="1:11" x14ac:dyDescent="0.25">
      <c r="A121" s="18" t="s">
        <v>30</v>
      </c>
      <c r="B121" s="18" t="s">
        <v>37</v>
      </c>
      <c r="C121" s="32">
        <v>7</v>
      </c>
      <c r="D121" s="47">
        <v>13529722.09</v>
      </c>
      <c r="E121" s="47">
        <v>5874051.9399999995</v>
      </c>
      <c r="F121" s="32">
        <v>0</v>
      </c>
      <c r="G121" s="47">
        <v>0</v>
      </c>
      <c r="H121" s="47">
        <v>0</v>
      </c>
      <c r="I121" s="32">
        <v>7</v>
      </c>
      <c r="J121" s="47">
        <v>13529722.09</v>
      </c>
      <c r="K121" s="47">
        <v>5874051.9399999995</v>
      </c>
    </row>
    <row r="122" spans="1:11" x14ac:dyDescent="0.25">
      <c r="A122" s="18" t="s">
        <v>2791</v>
      </c>
      <c r="B122" s="18" t="s">
        <v>37</v>
      </c>
      <c r="C122" s="32">
        <v>4</v>
      </c>
      <c r="D122" s="47">
        <v>5396576.1399999997</v>
      </c>
      <c r="E122" s="47">
        <v>1488332.17</v>
      </c>
      <c r="F122" s="32">
        <v>0</v>
      </c>
      <c r="G122" s="47">
        <v>0</v>
      </c>
      <c r="H122" s="47">
        <v>0</v>
      </c>
      <c r="I122" s="32">
        <v>4</v>
      </c>
      <c r="J122" s="47">
        <v>5396576.1399999997</v>
      </c>
      <c r="K122" s="47">
        <v>1488332.17</v>
      </c>
    </row>
    <row r="123" spans="1:11" x14ac:dyDescent="0.25">
      <c r="A123" s="34" t="s">
        <v>2809</v>
      </c>
      <c r="B123" s="18" t="s">
        <v>37</v>
      </c>
      <c r="C123" s="32">
        <v>0</v>
      </c>
      <c r="D123" s="47">
        <v>0</v>
      </c>
      <c r="E123" s="47">
        <v>0</v>
      </c>
      <c r="F123" s="32">
        <v>30</v>
      </c>
      <c r="G123" s="47">
        <v>28834794.920000006</v>
      </c>
      <c r="H123" s="47">
        <v>3866719.06</v>
      </c>
      <c r="I123" s="32">
        <v>30</v>
      </c>
      <c r="J123" s="47">
        <v>28834794.920000006</v>
      </c>
      <c r="K123" s="47">
        <v>3866719.06</v>
      </c>
    </row>
    <row r="124" spans="1:11" x14ac:dyDescent="0.25">
      <c r="A124" s="34" t="s">
        <v>141</v>
      </c>
      <c r="B124" s="18" t="s">
        <v>37</v>
      </c>
      <c r="C124" s="32">
        <v>4</v>
      </c>
      <c r="D124" s="47">
        <v>0</v>
      </c>
      <c r="E124" s="47">
        <v>240727.33000000002</v>
      </c>
      <c r="F124" s="32">
        <v>0</v>
      </c>
      <c r="G124" s="47">
        <v>0</v>
      </c>
      <c r="H124" s="47">
        <v>0</v>
      </c>
      <c r="I124" s="32">
        <v>4</v>
      </c>
      <c r="J124" s="47">
        <v>0</v>
      </c>
      <c r="K124" s="47">
        <v>240727.33000000002</v>
      </c>
    </row>
    <row r="125" spans="1:11" x14ac:dyDescent="0.25">
      <c r="A125" s="18" t="s">
        <v>146</v>
      </c>
      <c r="B125" s="18" t="s">
        <v>37</v>
      </c>
      <c r="C125" s="32">
        <v>0</v>
      </c>
      <c r="D125" s="47">
        <v>0</v>
      </c>
      <c r="E125" s="47">
        <v>0</v>
      </c>
      <c r="F125" s="32">
        <v>9</v>
      </c>
      <c r="G125" s="47">
        <v>8789914.8000000007</v>
      </c>
      <c r="H125" s="47">
        <v>6548564.5500000007</v>
      </c>
      <c r="I125" s="32">
        <v>9</v>
      </c>
      <c r="J125" s="47">
        <v>8789914.8000000007</v>
      </c>
      <c r="K125" s="47">
        <v>6548564.5500000007</v>
      </c>
    </row>
    <row r="126" spans="1:11" x14ac:dyDescent="0.25">
      <c r="A126" s="18" t="s">
        <v>2839</v>
      </c>
      <c r="B126" s="18" t="s">
        <v>37</v>
      </c>
      <c r="C126" s="32">
        <v>0</v>
      </c>
      <c r="D126" s="47">
        <v>0</v>
      </c>
      <c r="E126" s="47">
        <v>0</v>
      </c>
      <c r="F126" s="32">
        <v>2</v>
      </c>
      <c r="G126" s="47">
        <v>3420184.16</v>
      </c>
      <c r="H126" s="47">
        <v>1500634.1</v>
      </c>
      <c r="I126" s="32">
        <v>2</v>
      </c>
      <c r="J126" s="47">
        <v>3420184.16</v>
      </c>
      <c r="K126" s="47">
        <v>1500634.1</v>
      </c>
    </row>
    <row r="127" spans="1:11" x14ac:dyDescent="0.25">
      <c r="A127" s="18" t="s">
        <v>1320</v>
      </c>
      <c r="B127" s="18" t="s">
        <v>37</v>
      </c>
      <c r="C127" s="32">
        <v>0</v>
      </c>
      <c r="D127" s="47">
        <v>0</v>
      </c>
      <c r="E127" s="47">
        <v>0</v>
      </c>
      <c r="F127" s="32">
        <v>12</v>
      </c>
      <c r="G127" s="47">
        <v>2429260.87</v>
      </c>
      <c r="H127" s="47">
        <v>895514.5</v>
      </c>
      <c r="I127" s="32">
        <v>12</v>
      </c>
      <c r="J127" s="47">
        <v>2429260.87</v>
      </c>
      <c r="K127" s="47">
        <v>895514.5</v>
      </c>
    </row>
    <row r="128" spans="1:11" x14ac:dyDescent="0.25">
      <c r="A128" s="18" t="s">
        <v>1351</v>
      </c>
      <c r="B128" s="18" t="s">
        <v>37</v>
      </c>
      <c r="C128" s="32">
        <v>10</v>
      </c>
      <c r="D128" s="47">
        <v>7284325.9200000009</v>
      </c>
      <c r="E128" s="47">
        <v>2966996.0500000003</v>
      </c>
      <c r="F128" s="32">
        <v>0</v>
      </c>
      <c r="G128" s="47">
        <v>0</v>
      </c>
      <c r="H128" s="47">
        <v>0</v>
      </c>
      <c r="I128" s="32">
        <v>10</v>
      </c>
      <c r="J128" s="47">
        <v>7284325.9200000009</v>
      </c>
      <c r="K128" s="47">
        <v>2966996.0500000003</v>
      </c>
    </row>
    <row r="129" spans="1:11" x14ac:dyDescent="0.25">
      <c r="A129" s="18" t="s">
        <v>2884</v>
      </c>
      <c r="B129" s="18" t="s">
        <v>37</v>
      </c>
      <c r="C129" s="32">
        <v>1</v>
      </c>
      <c r="D129" s="47">
        <v>545708.30000000005</v>
      </c>
      <c r="E129" s="47">
        <v>0</v>
      </c>
      <c r="F129" s="32">
        <v>0</v>
      </c>
      <c r="G129" s="47">
        <v>0</v>
      </c>
      <c r="H129" s="47">
        <v>0</v>
      </c>
      <c r="I129" s="32">
        <v>1</v>
      </c>
      <c r="J129" s="47">
        <v>545708.30000000005</v>
      </c>
      <c r="K129" s="47">
        <v>0</v>
      </c>
    </row>
    <row r="130" spans="1:11" x14ac:dyDescent="0.25">
      <c r="A130" s="34" t="s">
        <v>1389</v>
      </c>
      <c r="B130" s="18" t="s">
        <v>37</v>
      </c>
      <c r="C130" s="32">
        <v>0</v>
      </c>
      <c r="D130" s="47">
        <v>0</v>
      </c>
      <c r="E130" s="47">
        <v>0</v>
      </c>
      <c r="F130" s="32">
        <v>6</v>
      </c>
      <c r="G130" s="47">
        <v>5999463.5700000003</v>
      </c>
      <c r="H130" s="47">
        <v>1251796.67</v>
      </c>
      <c r="I130" s="32">
        <v>6</v>
      </c>
      <c r="J130" s="47">
        <v>5999463.5700000003</v>
      </c>
      <c r="K130" s="47">
        <v>1251796.67</v>
      </c>
    </row>
    <row r="131" spans="1:11" x14ac:dyDescent="0.25">
      <c r="A131" s="18" t="s">
        <v>1393</v>
      </c>
      <c r="B131" s="18" t="s">
        <v>37</v>
      </c>
      <c r="C131" s="32">
        <v>3</v>
      </c>
      <c r="D131" s="47">
        <v>2088561.83</v>
      </c>
      <c r="E131" s="47">
        <v>604995.03</v>
      </c>
      <c r="F131" s="32">
        <v>0</v>
      </c>
      <c r="G131" s="47">
        <v>0</v>
      </c>
      <c r="H131" s="47">
        <v>0</v>
      </c>
      <c r="I131" s="32">
        <v>3</v>
      </c>
      <c r="J131" s="47">
        <v>2088561.83</v>
      </c>
      <c r="K131" s="47">
        <v>604995.03</v>
      </c>
    </row>
    <row r="132" spans="1:11" x14ac:dyDescent="0.25">
      <c r="A132" s="18" t="s">
        <v>1413</v>
      </c>
      <c r="B132" s="18" t="s">
        <v>37</v>
      </c>
      <c r="C132" s="32">
        <v>20</v>
      </c>
      <c r="D132" s="47">
        <v>75673798.329999983</v>
      </c>
      <c r="E132" s="47">
        <v>30114260.34</v>
      </c>
      <c r="F132" s="32">
        <v>0</v>
      </c>
      <c r="G132" s="47">
        <v>0</v>
      </c>
      <c r="H132" s="47">
        <v>0</v>
      </c>
      <c r="I132" s="32">
        <v>20</v>
      </c>
      <c r="J132" s="47">
        <v>75673798.329999983</v>
      </c>
      <c r="K132" s="47">
        <v>30114260.34</v>
      </c>
    </row>
    <row r="133" spans="1:11" x14ac:dyDescent="0.25">
      <c r="A133" s="18" t="s">
        <v>1423</v>
      </c>
      <c r="B133" s="18" t="s">
        <v>37</v>
      </c>
      <c r="C133" s="32">
        <v>4</v>
      </c>
      <c r="D133" s="47">
        <v>3353678.7199999997</v>
      </c>
      <c r="E133" s="47">
        <v>1282607.3900000001</v>
      </c>
      <c r="F133" s="32">
        <v>0</v>
      </c>
      <c r="G133" s="47">
        <v>0</v>
      </c>
      <c r="H133" s="47">
        <v>0</v>
      </c>
      <c r="I133" s="32">
        <v>4</v>
      </c>
      <c r="J133" s="47">
        <v>3353678.7199999997</v>
      </c>
      <c r="K133" s="47">
        <v>1282607.3900000001</v>
      </c>
    </row>
    <row r="134" spans="1:11" x14ac:dyDescent="0.25">
      <c r="A134" s="18" t="s">
        <v>2767</v>
      </c>
      <c r="B134" s="18" t="s">
        <v>37</v>
      </c>
      <c r="C134" s="32">
        <v>0</v>
      </c>
      <c r="D134" s="47">
        <v>0</v>
      </c>
      <c r="E134" s="47">
        <v>0</v>
      </c>
      <c r="F134" s="32">
        <v>4</v>
      </c>
      <c r="G134" s="47">
        <v>1271208.8699999999</v>
      </c>
      <c r="H134" s="47">
        <v>636145.28999999992</v>
      </c>
      <c r="I134" s="32">
        <v>4</v>
      </c>
      <c r="J134" s="47">
        <v>1271208.8699999999</v>
      </c>
      <c r="K134" s="47">
        <v>636145.28999999992</v>
      </c>
    </row>
    <row r="135" spans="1:11" x14ac:dyDescent="0.25">
      <c r="A135" s="18" t="s">
        <v>2817</v>
      </c>
      <c r="B135" s="18" t="s">
        <v>37</v>
      </c>
      <c r="C135" s="32">
        <v>0</v>
      </c>
      <c r="D135" s="47">
        <v>0</v>
      </c>
      <c r="E135" s="47">
        <v>0</v>
      </c>
      <c r="F135" s="32">
        <v>3</v>
      </c>
      <c r="G135" s="47">
        <v>2719194.05</v>
      </c>
      <c r="H135" s="47">
        <v>260742.33</v>
      </c>
      <c r="I135" s="32">
        <v>3</v>
      </c>
      <c r="J135" s="47">
        <v>2719194.05</v>
      </c>
      <c r="K135" s="47">
        <v>260742.33</v>
      </c>
    </row>
    <row r="136" spans="1:11" x14ac:dyDescent="0.25">
      <c r="A136" s="18" t="s">
        <v>1441</v>
      </c>
      <c r="B136" s="18" t="s">
        <v>37</v>
      </c>
      <c r="C136" s="32">
        <v>6</v>
      </c>
      <c r="D136" s="47">
        <v>633961.91</v>
      </c>
      <c r="E136" s="47">
        <v>497993.23</v>
      </c>
      <c r="F136" s="32">
        <v>0</v>
      </c>
      <c r="G136" s="47">
        <v>0</v>
      </c>
      <c r="H136" s="47">
        <v>0</v>
      </c>
      <c r="I136" s="32">
        <v>6</v>
      </c>
      <c r="J136" s="47">
        <v>633961.91</v>
      </c>
      <c r="K136" s="47">
        <v>497993.23</v>
      </c>
    </row>
    <row r="137" spans="1:11" x14ac:dyDescent="0.25">
      <c r="A137" s="18" t="s">
        <v>1450</v>
      </c>
      <c r="B137" s="18" t="s">
        <v>37</v>
      </c>
      <c r="C137" s="32">
        <v>5</v>
      </c>
      <c r="D137" s="47">
        <v>2616584.29</v>
      </c>
      <c r="E137" s="47">
        <v>651186.19000000006</v>
      </c>
      <c r="F137" s="32">
        <v>0</v>
      </c>
      <c r="G137" s="47">
        <v>0</v>
      </c>
      <c r="H137" s="47">
        <v>0</v>
      </c>
      <c r="I137" s="32">
        <v>5</v>
      </c>
      <c r="J137" s="47">
        <v>2616584.29</v>
      </c>
      <c r="K137" s="47">
        <v>651186.19000000006</v>
      </c>
    </row>
    <row r="138" spans="1:11" x14ac:dyDescent="0.25">
      <c r="A138" s="34" t="s">
        <v>2793</v>
      </c>
      <c r="B138" s="18" t="s">
        <v>37</v>
      </c>
      <c r="C138" s="32">
        <v>25</v>
      </c>
      <c r="D138" s="47">
        <v>129711671.74999999</v>
      </c>
      <c r="E138" s="47">
        <v>35326114.560000002</v>
      </c>
      <c r="F138" s="32">
        <v>14</v>
      </c>
      <c r="G138" s="47">
        <v>109113043.25999999</v>
      </c>
      <c r="H138" s="47">
        <v>70151733.710000008</v>
      </c>
      <c r="I138" s="32">
        <v>39</v>
      </c>
      <c r="J138" s="47">
        <v>238824715.00999999</v>
      </c>
      <c r="K138" s="47">
        <v>105477848.27000001</v>
      </c>
    </row>
    <row r="139" spans="1:11" x14ac:dyDescent="0.25">
      <c r="A139" s="34" t="s">
        <v>1452</v>
      </c>
      <c r="B139" s="18" t="s">
        <v>37</v>
      </c>
      <c r="C139" s="32">
        <v>0</v>
      </c>
      <c r="D139" s="47">
        <v>0</v>
      </c>
      <c r="E139" s="47">
        <v>0</v>
      </c>
      <c r="F139" s="32">
        <v>6</v>
      </c>
      <c r="G139" s="47">
        <v>3099744.56</v>
      </c>
      <c r="H139" s="47">
        <v>1208570.2600000002</v>
      </c>
      <c r="I139" s="32">
        <v>6</v>
      </c>
      <c r="J139" s="47">
        <v>3099744.56</v>
      </c>
      <c r="K139" s="47">
        <v>1208570.2600000002</v>
      </c>
    </row>
    <row r="140" spans="1:11" x14ac:dyDescent="0.25">
      <c r="A140" s="34" t="s">
        <v>2720</v>
      </c>
      <c r="B140" s="18" t="s">
        <v>37</v>
      </c>
      <c r="C140" s="32">
        <v>1</v>
      </c>
      <c r="D140" s="47">
        <v>199246.27</v>
      </c>
      <c r="E140" s="47">
        <v>84430.21</v>
      </c>
      <c r="F140" s="32">
        <v>0</v>
      </c>
      <c r="G140" s="47">
        <v>0</v>
      </c>
      <c r="H140" s="47">
        <v>0</v>
      </c>
      <c r="I140" s="32">
        <v>1</v>
      </c>
      <c r="J140" s="47">
        <v>199246.27</v>
      </c>
      <c r="K140" s="47">
        <v>84430.21</v>
      </c>
    </row>
    <row r="141" spans="1:11" x14ac:dyDescent="0.25">
      <c r="A141" s="18" t="s">
        <v>2840</v>
      </c>
      <c r="B141" s="18" t="s">
        <v>37</v>
      </c>
      <c r="C141" s="32">
        <v>6</v>
      </c>
      <c r="D141" s="47">
        <v>1746308.7599999998</v>
      </c>
      <c r="E141" s="47">
        <v>680846.19000000006</v>
      </c>
      <c r="F141" s="32">
        <v>0</v>
      </c>
      <c r="G141" s="47">
        <v>0</v>
      </c>
      <c r="H141" s="47">
        <v>0</v>
      </c>
      <c r="I141" s="32">
        <v>6</v>
      </c>
      <c r="J141" s="47">
        <v>1746308.7599999998</v>
      </c>
      <c r="K141" s="47">
        <v>680846.19000000006</v>
      </c>
    </row>
    <row r="142" spans="1:11" x14ac:dyDescent="0.25">
      <c r="A142" s="18" t="s">
        <v>1475</v>
      </c>
      <c r="B142" s="18" t="s">
        <v>37</v>
      </c>
      <c r="C142" s="32">
        <v>3</v>
      </c>
      <c r="D142" s="47">
        <v>3919417.9600000004</v>
      </c>
      <c r="E142" s="47">
        <v>0</v>
      </c>
      <c r="F142" s="32">
        <v>0</v>
      </c>
      <c r="G142" s="47">
        <v>0</v>
      </c>
      <c r="H142" s="47">
        <v>0</v>
      </c>
      <c r="I142" s="32">
        <v>3</v>
      </c>
      <c r="J142" s="47">
        <v>3919417.9600000004</v>
      </c>
      <c r="K142" s="47">
        <v>0</v>
      </c>
    </row>
    <row r="143" spans="1:11" x14ac:dyDescent="0.25">
      <c r="A143" s="18" t="s">
        <v>1477</v>
      </c>
      <c r="B143" s="18" t="s">
        <v>37</v>
      </c>
      <c r="C143" s="32">
        <v>4</v>
      </c>
      <c r="D143" s="47">
        <v>1184363.9099999999</v>
      </c>
      <c r="E143" s="47">
        <v>526453.68000000005</v>
      </c>
      <c r="F143" s="32">
        <v>0</v>
      </c>
      <c r="G143" s="47">
        <v>0</v>
      </c>
      <c r="H143" s="47">
        <v>0</v>
      </c>
      <c r="I143" s="32">
        <v>4</v>
      </c>
      <c r="J143" s="47">
        <v>1184363.9099999999</v>
      </c>
      <c r="K143" s="47">
        <v>526453.68000000005</v>
      </c>
    </row>
    <row r="144" spans="1:11" x14ac:dyDescent="0.25">
      <c r="A144" s="18" t="s">
        <v>1480</v>
      </c>
      <c r="B144" s="18" t="s">
        <v>37</v>
      </c>
      <c r="C144" s="32">
        <v>9</v>
      </c>
      <c r="D144" s="47">
        <v>3611429.8000000003</v>
      </c>
      <c r="E144" s="47">
        <v>1777458.3099999998</v>
      </c>
      <c r="F144" s="32">
        <v>0</v>
      </c>
      <c r="G144" s="47">
        <v>0</v>
      </c>
      <c r="H144" s="47">
        <v>0</v>
      </c>
      <c r="I144" s="32">
        <v>9</v>
      </c>
      <c r="J144" s="47">
        <v>3611429.8000000003</v>
      </c>
      <c r="K144" s="47">
        <v>1777458.3099999998</v>
      </c>
    </row>
    <row r="145" spans="1:11" x14ac:dyDescent="0.25">
      <c r="A145" s="18" t="s">
        <v>2841</v>
      </c>
      <c r="B145" s="18" t="s">
        <v>37</v>
      </c>
      <c r="C145" s="32">
        <v>1</v>
      </c>
      <c r="D145" s="47">
        <v>150677.31</v>
      </c>
      <c r="E145" s="47">
        <v>106748.52</v>
      </c>
      <c r="F145" s="32">
        <v>0</v>
      </c>
      <c r="G145" s="47">
        <v>0</v>
      </c>
      <c r="H145" s="47">
        <v>0</v>
      </c>
      <c r="I145" s="32">
        <v>1</v>
      </c>
      <c r="J145" s="47">
        <v>150677.31</v>
      </c>
      <c r="K145" s="47">
        <v>106748.52</v>
      </c>
    </row>
    <row r="146" spans="1:11" x14ac:dyDescent="0.25">
      <c r="A146" s="18" t="s">
        <v>2778</v>
      </c>
      <c r="B146" s="18" t="s">
        <v>1213</v>
      </c>
      <c r="C146" s="32">
        <v>1</v>
      </c>
      <c r="D146" s="47">
        <v>236924.83</v>
      </c>
      <c r="E146" s="47">
        <v>45145.07</v>
      </c>
      <c r="F146" s="32">
        <v>0</v>
      </c>
      <c r="G146" s="47">
        <v>0</v>
      </c>
      <c r="H146" s="47">
        <v>0</v>
      </c>
      <c r="I146" s="32">
        <v>1</v>
      </c>
      <c r="J146" s="47">
        <v>236924.83</v>
      </c>
      <c r="K146" s="47">
        <v>45145.07</v>
      </c>
    </row>
    <row r="147" spans="1:11" x14ac:dyDescent="0.25">
      <c r="A147" s="18" t="s">
        <v>1484</v>
      </c>
      <c r="B147" s="18" t="s">
        <v>37</v>
      </c>
      <c r="C147" s="32">
        <v>8</v>
      </c>
      <c r="D147" s="47">
        <v>2598891.06</v>
      </c>
      <c r="E147" s="47">
        <v>1332226.3590902209</v>
      </c>
      <c r="F147" s="32">
        <v>0</v>
      </c>
      <c r="G147" s="47">
        <v>0</v>
      </c>
      <c r="H147" s="47">
        <v>0</v>
      </c>
      <c r="I147" s="32">
        <v>8</v>
      </c>
      <c r="J147" s="47">
        <v>2598891.06</v>
      </c>
      <c r="K147" s="47">
        <v>1332226.3590902209</v>
      </c>
    </row>
    <row r="148" spans="1:11" x14ac:dyDescent="0.25">
      <c r="A148" s="18" t="s">
        <v>1498</v>
      </c>
      <c r="B148" s="34" t="s">
        <v>37</v>
      </c>
      <c r="C148" s="32">
        <v>15</v>
      </c>
      <c r="D148" s="47">
        <v>42745911.469999999</v>
      </c>
      <c r="E148" s="47">
        <v>20110423.820000004</v>
      </c>
      <c r="F148" s="32">
        <v>0</v>
      </c>
      <c r="G148" s="47">
        <v>0</v>
      </c>
      <c r="H148" s="47">
        <v>0</v>
      </c>
      <c r="I148" s="32">
        <v>15</v>
      </c>
      <c r="J148" s="47">
        <v>42745911.469999999</v>
      </c>
      <c r="K148" s="47">
        <v>20110423.820000004</v>
      </c>
    </row>
    <row r="149" spans="1:11" x14ac:dyDescent="0.25">
      <c r="A149" s="18" t="s">
        <v>2722</v>
      </c>
      <c r="B149" s="18" t="s">
        <v>37</v>
      </c>
      <c r="C149" s="32">
        <v>21</v>
      </c>
      <c r="D149" s="47">
        <v>23513730.980000004</v>
      </c>
      <c r="E149" s="47">
        <v>8514097.1100000013</v>
      </c>
      <c r="F149" s="32">
        <v>0</v>
      </c>
      <c r="G149" s="47">
        <v>0</v>
      </c>
      <c r="H149" s="47">
        <v>0</v>
      </c>
      <c r="I149" s="32">
        <v>21</v>
      </c>
      <c r="J149" s="47">
        <v>23513730.980000004</v>
      </c>
      <c r="K149" s="47">
        <v>8514097.1100000013</v>
      </c>
    </row>
    <row r="150" spans="1:11" x14ac:dyDescent="0.25">
      <c r="A150" s="18" t="s">
        <v>1506</v>
      </c>
      <c r="B150" s="18" t="s">
        <v>37</v>
      </c>
      <c r="C150" s="32">
        <v>0</v>
      </c>
      <c r="D150" s="47">
        <v>0</v>
      </c>
      <c r="E150" s="47">
        <v>0</v>
      </c>
      <c r="F150" s="32">
        <v>2</v>
      </c>
      <c r="G150" s="47">
        <v>4141035.54</v>
      </c>
      <c r="H150" s="47">
        <v>650615.11</v>
      </c>
      <c r="I150" s="32">
        <v>2</v>
      </c>
      <c r="J150" s="47">
        <v>4141035.54</v>
      </c>
      <c r="K150" s="47">
        <v>650615.11</v>
      </c>
    </row>
    <row r="151" spans="1:11" x14ac:dyDescent="0.25">
      <c r="A151" s="18" t="s">
        <v>1512</v>
      </c>
      <c r="B151" s="18" t="s">
        <v>37</v>
      </c>
      <c r="C151" s="32">
        <v>0</v>
      </c>
      <c r="D151" s="47">
        <v>0</v>
      </c>
      <c r="E151" s="47">
        <v>0</v>
      </c>
      <c r="F151" s="32">
        <v>4</v>
      </c>
      <c r="G151" s="47">
        <v>0</v>
      </c>
      <c r="H151" s="47">
        <v>513533.92000000004</v>
      </c>
      <c r="I151" s="32">
        <v>4</v>
      </c>
      <c r="J151" s="47">
        <v>0</v>
      </c>
      <c r="K151" s="47">
        <v>513533.92000000004</v>
      </c>
    </row>
    <row r="152" spans="1:11" x14ac:dyDescent="0.25">
      <c r="A152" s="18" t="s">
        <v>1520</v>
      </c>
      <c r="B152" s="18" t="s">
        <v>37</v>
      </c>
      <c r="C152" s="32">
        <v>6</v>
      </c>
      <c r="D152" s="47">
        <v>6362396.2199999997</v>
      </c>
      <c r="E152" s="47">
        <v>1406666.1700000002</v>
      </c>
      <c r="F152" s="32">
        <v>0</v>
      </c>
      <c r="G152" s="47">
        <v>0</v>
      </c>
      <c r="H152" s="47">
        <v>0</v>
      </c>
      <c r="I152" s="32">
        <v>6</v>
      </c>
      <c r="J152" s="47">
        <v>6362396.2199999997</v>
      </c>
      <c r="K152" s="47">
        <v>1406666.1700000002</v>
      </c>
    </row>
    <row r="153" spans="1:11" x14ac:dyDescent="0.25">
      <c r="A153" s="18" t="s">
        <v>1522</v>
      </c>
      <c r="B153" s="18" t="s">
        <v>37</v>
      </c>
      <c r="C153" s="32">
        <v>0</v>
      </c>
      <c r="D153" s="47">
        <v>0</v>
      </c>
      <c r="E153" s="47">
        <v>0</v>
      </c>
      <c r="F153" s="32">
        <v>2</v>
      </c>
      <c r="G153" s="47">
        <v>59692.53</v>
      </c>
      <c r="H153" s="47">
        <v>27114.620000000003</v>
      </c>
      <c r="I153" s="32">
        <v>2</v>
      </c>
      <c r="J153" s="47">
        <v>59692.53</v>
      </c>
      <c r="K153" s="47">
        <v>27114.620000000003</v>
      </c>
    </row>
    <row r="154" spans="1:11" x14ac:dyDescent="0.25">
      <c r="A154" s="18" t="s">
        <v>1526</v>
      </c>
      <c r="B154" s="18" t="s">
        <v>37</v>
      </c>
      <c r="C154" s="32">
        <v>4</v>
      </c>
      <c r="D154" s="47">
        <v>2047516.58</v>
      </c>
      <c r="E154" s="47">
        <v>665648.03</v>
      </c>
      <c r="F154" s="32">
        <v>0</v>
      </c>
      <c r="G154" s="47">
        <v>0</v>
      </c>
      <c r="H154" s="47">
        <v>0</v>
      </c>
      <c r="I154" s="32">
        <v>4</v>
      </c>
      <c r="J154" s="47">
        <v>2047516.58</v>
      </c>
      <c r="K154" s="47">
        <v>665648.03</v>
      </c>
    </row>
    <row r="155" spans="1:11" x14ac:dyDescent="0.25">
      <c r="A155" s="18" t="s">
        <v>2769</v>
      </c>
      <c r="B155" s="18" t="s">
        <v>37</v>
      </c>
      <c r="C155" s="32">
        <v>2</v>
      </c>
      <c r="D155" s="47">
        <v>1310380.1599999999</v>
      </c>
      <c r="E155" s="47">
        <v>502937.52999999997</v>
      </c>
      <c r="F155" s="32">
        <v>0</v>
      </c>
      <c r="G155" s="47">
        <v>0</v>
      </c>
      <c r="H155" s="47">
        <v>0</v>
      </c>
      <c r="I155" s="32">
        <v>2</v>
      </c>
      <c r="J155" s="47">
        <v>1310380.1599999999</v>
      </c>
      <c r="K155" s="47">
        <v>502937.52999999997</v>
      </c>
    </row>
    <row r="156" spans="1:11" x14ac:dyDescent="0.25">
      <c r="A156" s="18" t="s">
        <v>1543</v>
      </c>
      <c r="B156" s="18" t="s">
        <v>37</v>
      </c>
      <c r="C156" s="32">
        <v>0</v>
      </c>
      <c r="D156" s="47">
        <v>0</v>
      </c>
      <c r="E156" s="47">
        <v>0</v>
      </c>
      <c r="F156" s="32">
        <v>3</v>
      </c>
      <c r="G156" s="47">
        <v>3996914.6599999997</v>
      </c>
      <c r="H156" s="47">
        <v>410118.45</v>
      </c>
      <c r="I156" s="32">
        <v>3</v>
      </c>
      <c r="J156" s="47">
        <v>3996914.6599999997</v>
      </c>
      <c r="K156" s="47">
        <v>410118.45</v>
      </c>
    </row>
    <row r="157" spans="1:11" x14ac:dyDescent="0.25">
      <c r="A157" s="18" t="s">
        <v>2779</v>
      </c>
      <c r="B157" s="18" t="s">
        <v>37</v>
      </c>
      <c r="C157" s="32">
        <v>0</v>
      </c>
      <c r="D157" s="47">
        <v>0</v>
      </c>
      <c r="E157" s="47">
        <v>0</v>
      </c>
      <c r="F157" s="32">
        <v>4</v>
      </c>
      <c r="G157" s="47">
        <v>2167275.5699999998</v>
      </c>
      <c r="H157" s="47">
        <v>740842.49</v>
      </c>
      <c r="I157" s="32">
        <v>4</v>
      </c>
      <c r="J157" s="47">
        <v>2167275.5699999998</v>
      </c>
      <c r="K157" s="47">
        <v>740842.49</v>
      </c>
    </row>
    <row r="158" spans="1:11" x14ac:dyDescent="0.25">
      <c r="A158" s="34" t="s">
        <v>1544</v>
      </c>
      <c r="B158" s="18" t="s">
        <v>37</v>
      </c>
      <c r="C158" s="32">
        <v>0</v>
      </c>
      <c r="D158" s="47">
        <v>0</v>
      </c>
      <c r="E158" s="47">
        <v>0</v>
      </c>
      <c r="F158" s="32">
        <v>2</v>
      </c>
      <c r="G158" s="47">
        <v>219530.59999999998</v>
      </c>
      <c r="H158" s="47">
        <v>58530.16</v>
      </c>
      <c r="I158" s="32">
        <v>2</v>
      </c>
      <c r="J158" s="47">
        <v>219530.59999999998</v>
      </c>
      <c r="K158" s="47">
        <v>58530.16</v>
      </c>
    </row>
    <row r="159" spans="1:11" x14ac:dyDescent="0.25">
      <c r="A159" s="18" t="s">
        <v>1552</v>
      </c>
      <c r="B159" s="18" t="s">
        <v>37</v>
      </c>
      <c r="C159" s="32">
        <v>6</v>
      </c>
      <c r="D159" s="47">
        <v>2046094.3000000003</v>
      </c>
      <c r="E159" s="47">
        <v>862503.37</v>
      </c>
      <c r="F159" s="32">
        <v>0</v>
      </c>
      <c r="G159" s="47">
        <v>0</v>
      </c>
      <c r="H159" s="47">
        <v>0</v>
      </c>
      <c r="I159" s="32">
        <v>6</v>
      </c>
      <c r="J159" s="47">
        <v>2046094.3000000003</v>
      </c>
      <c r="K159" s="47">
        <v>862503.37</v>
      </c>
    </row>
    <row r="160" spans="1:11" x14ac:dyDescent="0.25">
      <c r="A160" s="18" t="s">
        <v>1571</v>
      </c>
      <c r="B160" s="18" t="s">
        <v>37</v>
      </c>
      <c r="C160" s="32">
        <v>0</v>
      </c>
      <c r="D160" s="47">
        <v>0</v>
      </c>
      <c r="E160" s="47">
        <v>0</v>
      </c>
      <c r="F160" s="32">
        <v>13</v>
      </c>
      <c r="G160" s="47">
        <v>4238784.96</v>
      </c>
      <c r="H160" s="47">
        <v>2060976.5400000003</v>
      </c>
      <c r="I160" s="32">
        <v>13</v>
      </c>
      <c r="J160" s="47">
        <v>4238784.96</v>
      </c>
      <c r="K160" s="47">
        <v>2060976.5400000003</v>
      </c>
    </row>
    <row r="161" spans="1:11" x14ac:dyDescent="0.25">
      <c r="A161" s="18" t="s">
        <v>1572</v>
      </c>
      <c r="B161" s="18" t="s">
        <v>37</v>
      </c>
      <c r="C161" s="32">
        <v>0</v>
      </c>
      <c r="D161" s="47">
        <v>0</v>
      </c>
      <c r="E161" s="47">
        <v>0</v>
      </c>
      <c r="F161" s="32">
        <v>14</v>
      </c>
      <c r="G161" s="47">
        <v>8530030.5500000007</v>
      </c>
      <c r="H161" s="47">
        <v>4086105.3899999997</v>
      </c>
      <c r="I161" s="32">
        <v>14</v>
      </c>
      <c r="J161" s="47">
        <v>8530030.5500000007</v>
      </c>
      <c r="K161" s="47">
        <v>4086105.3899999997</v>
      </c>
    </row>
    <row r="162" spans="1:11" x14ac:dyDescent="0.25">
      <c r="A162" s="18" t="s">
        <v>1583</v>
      </c>
      <c r="B162" s="18" t="s">
        <v>37</v>
      </c>
      <c r="C162" s="32">
        <v>0</v>
      </c>
      <c r="D162" s="47">
        <v>0</v>
      </c>
      <c r="E162" s="47">
        <v>0</v>
      </c>
      <c r="F162" s="32">
        <v>13</v>
      </c>
      <c r="G162" s="47">
        <v>54095006.45000001</v>
      </c>
      <c r="H162" s="47">
        <v>11757469.99</v>
      </c>
      <c r="I162" s="32">
        <v>13</v>
      </c>
      <c r="J162" s="47">
        <v>54095006.45000001</v>
      </c>
      <c r="K162" s="47">
        <v>11757469.99</v>
      </c>
    </row>
    <row r="163" spans="1:11" x14ac:dyDescent="0.25">
      <c r="A163" s="18" t="s">
        <v>1590</v>
      </c>
      <c r="B163" s="18" t="s">
        <v>37</v>
      </c>
      <c r="C163" s="32">
        <v>0</v>
      </c>
      <c r="D163" s="47">
        <v>0</v>
      </c>
      <c r="E163" s="47">
        <v>0</v>
      </c>
      <c r="F163" s="32">
        <v>7</v>
      </c>
      <c r="G163" s="47">
        <v>5106159.32</v>
      </c>
      <c r="H163" s="47">
        <v>1322970.94</v>
      </c>
      <c r="I163" s="32">
        <v>7</v>
      </c>
      <c r="J163" s="47">
        <v>5106159.32</v>
      </c>
      <c r="K163" s="47">
        <v>1322970.94</v>
      </c>
    </row>
    <row r="164" spans="1:11" x14ac:dyDescent="0.25">
      <c r="A164" s="18" t="s">
        <v>1596</v>
      </c>
      <c r="B164" s="18" t="s">
        <v>37</v>
      </c>
      <c r="C164" s="32">
        <v>5</v>
      </c>
      <c r="D164" s="47">
        <v>2564596.77</v>
      </c>
      <c r="E164" s="47">
        <v>652635.42000000004</v>
      </c>
      <c r="F164" s="32">
        <v>1</v>
      </c>
      <c r="G164" s="47">
        <v>162416.59</v>
      </c>
      <c r="H164" s="47">
        <v>123019.66</v>
      </c>
      <c r="I164" s="32">
        <v>6</v>
      </c>
      <c r="J164" s="47">
        <v>2727013.36</v>
      </c>
      <c r="K164" s="47">
        <v>775655.08000000007</v>
      </c>
    </row>
    <row r="165" spans="1:11" x14ac:dyDescent="0.25">
      <c r="A165" s="18" t="s">
        <v>1603</v>
      </c>
      <c r="B165" s="18" t="s">
        <v>37</v>
      </c>
      <c r="C165" s="32">
        <v>0</v>
      </c>
      <c r="D165" s="47">
        <v>0</v>
      </c>
      <c r="E165" s="47">
        <v>0</v>
      </c>
      <c r="F165" s="32">
        <v>6</v>
      </c>
      <c r="G165" s="47">
        <v>2237860</v>
      </c>
      <c r="H165" s="47">
        <v>0</v>
      </c>
      <c r="I165" s="32">
        <v>6</v>
      </c>
      <c r="J165" s="47">
        <v>2237860</v>
      </c>
      <c r="K165" s="47">
        <v>0</v>
      </c>
    </row>
    <row r="166" spans="1:11" x14ac:dyDescent="0.25">
      <c r="A166" s="18" t="s">
        <v>1605</v>
      </c>
      <c r="B166" s="18" t="s">
        <v>37</v>
      </c>
      <c r="C166" s="32">
        <v>63</v>
      </c>
      <c r="D166" s="47">
        <v>47881445.50999999</v>
      </c>
      <c r="E166" s="47">
        <v>0</v>
      </c>
      <c r="F166" s="32">
        <v>0</v>
      </c>
      <c r="G166" s="47">
        <v>0</v>
      </c>
      <c r="H166" s="47">
        <v>0</v>
      </c>
      <c r="I166" s="32">
        <v>63</v>
      </c>
      <c r="J166" s="47">
        <v>47881445.50999999</v>
      </c>
      <c r="K166" s="47">
        <v>0</v>
      </c>
    </row>
    <row r="167" spans="1:11" x14ac:dyDescent="0.25">
      <c r="A167" s="18" t="s">
        <v>1816</v>
      </c>
      <c r="B167" s="18" t="s">
        <v>37</v>
      </c>
      <c r="C167" s="32">
        <v>1</v>
      </c>
      <c r="D167" s="47">
        <v>1925892.11</v>
      </c>
      <c r="E167" s="47">
        <v>395716.48</v>
      </c>
      <c r="F167" s="32">
        <v>0</v>
      </c>
      <c r="G167" s="47">
        <v>0</v>
      </c>
      <c r="H167" s="47">
        <v>0</v>
      </c>
      <c r="I167" s="32">
        <v>1</v>
      </c>
      <c r="J167" s="47">
        <v>1925892.11</v>
      </c>
      <c r="K167" s="47">
        <v>395716.48</v>
      </c>
    </row>
    <row r="168" spans="1:11" x14ac:dyDescent="0.25">
      <c r="A168" s="18" t="s">
        <v>1817</v>
      </c>
      <c r="B168" s="18" t="s">
        <v>37</v>
      </c>
      <c r="C168" s="32">
        <v>6</v>
      </c>
      <c r="D168" s="47">
        <v>1432391.5099999998</v>
      </c>
      <c r="E168" s="47">
        <v>765708.04999999993</v>
      </c>
      <c r="F168" s="32">
        <v>0</v>
      </c>
      <c r="G168" s="47">
        <v>0</v>
      </c>
      <c r="H168" s="47">
        <v>0</v>
      </c>
      <c r="I168" s="32">
        <v>6</v>
      </c>
      <c r="J168" s="47">
        <v>1432391.5099999998</v>
      </c>
      <c r="K168" s="47">
        <v>765708.04999999993</v>
      </c>
    </row>
    <row r="169" spans="1:11" x14ac:dyDescent="0.25">
      <c r="A169" s="18" t="s">
        <v>1822</v>
      </c>
      <c r="B169" s="18" t="s">
        <v>37</v>
      </c>
      <c r="C169" s="32">
        <v>0</v>
      </c>
      <c r="D169" s="47">
        <v>0</v>
      </c>
      <c r="E169" s="47">
        <v>0</v>
      </c>
      <c r="F169" s="32">
        <v>16</v>
      </c>
      <c r="G169" s="47">
        <v>0</v>
      </c>
      <c r="H169" s="47">
        <v>555971.63</v>
      </c>
      <c r="I169" s="32">
        <v>16</v>
      </c>
      <c r="J169" s="47">
        <v>0</v>
      </c>
      <c r="K169" s="47">
        <v>555971.63</v>
      </c>
    </row>
    <row r="170" spans="1:11" x14ac:dyDescent="0.25">
      <c r="A170" s="18" t="s">
        <v>2062</v>
      </c>
      <c r="B170" s="18" t="s">
        <v>37</v>
      </c>
      <c r="C170" s="32">
        <v>3</v>
      </c>
      <c r="D170" s="47">
        <v>1054033.78</v>
      </c>
      <c r="E170" s="47">
        <v>588162.85</v>
      </c>
      <c r="F170" s="32">
        <v>0</v>
      </c>
      <c r="G170" s="47">
        <v>0</v>
      </c>
      <c r="H170" s="47">
        <v>0</v>
      </c>
      <c r="I170" s="32">
        <v>3</v>
      </c>
      <c r="J170" s="47">
        <v>1054033.78</v>
      </c>
      <c r="K170" s="47">
        <v>588162.85</v>
      </c>
    </row>
    <row r="171" spans="1:11" x14ac:dyDescent="0.25">
      <c r="A171" s="18" t="s">
        <v>2070</v>
      </c>
      <c r="B171" s="18" t="s">
        <v>37</v>
      </c>
      <c r="C171" s="32">
        <v>0</v>
      </c>
      <c r="D171" s="47">
        <v>0</v>
      </c>
      <c r="E171" s="47">
        <v>0</v>
      </c>
      <c r="F171" s="32">
        <v>6</v>
      </c>
      <c r="G171" s="47">
        <v>0</v>
      </c>
      <c r="H171" s="47">
        <v>51206.619999999995</v>
      </c>
      <c r="I171" s="32">
        <v>6</v>
      </c>
      <c r="J171" s="47">
        <v>0</v>
      </c>
      <c r="K171" s="47">
        <v>51206.619999999995</v>
      </c>
    </row>
    <row r="172" spans="1:11" x14ac:dyDescent="0.25">
      <c r="A172" s="18" t="s">
        <v>2073</v>
      </c>
      <c r="B172" s="18" t="s">
        <v>37</v>
      </c>
      <c r="C172" s="32">
        <v>0</v>
      </c>
      <c r="D172" s="47">
        <v>0</v>
      </c>
      <c r="E172" s="47">
        <v>0</v>
      </c>
      <c r="F172" s="32">
        <v>1</v>
      </c>
      <c r="G172" s="47">
        <v>746016.19</v>
      </c>
      <c r="H172" s="47">
        <v>382702.64</v>
      </c>
      <c r="I172" s="32">
        <v>1</v>
      </c>
      <c r="J172" s="47">
        <v>746016.19</v>
      </c>
      <c r="K172" s="47">
        <v>382702.64</v>
      </c>
    </row>
    <row r="173" spans="1:11" x14ac:dyDescent="0.25">
      <c r="A173" s="18" t="s">
        <v>2079</v>
      </c>
      <c r="B173" s="18" t="s">
        <v>37</v>
      </c>
      <c r="C173" s="32">
        <v>0</v>
      </c>
      <c r="D173" s="47">
        <v>0</v>
      </c>
      <c r="E173" s="47">
        <v>0</v>
      </c>
      <c r="F173" s="32">
        <v>4</v>
      </c>
      <c r="G173" s="47">
        <v>5271506.37</v>
      </c>
      <c r="H173" s="47">
        <v>107617.04000000001</v>
      </c>
      <c r="I173" s="32">
        <v>4</v>
      </c>
      <c r="J173" s="47">
        <v>5271506.37</v>
      </c>
      <c r="K173" s="47">
        <v>107617.04000000001</v>
      </c>
    </row>
    <row r="174" spans="1:11" x14ac:dyDescent="0.25">
      <c r="A174" s="18" t="s">
        <v>2044</v>
      </c>
      <c r="B174" s="18" t="s">
        <v>37</v>
      </c>
      <c r="C174" s="32">
        <v>4</v>
      </c>
      <c r="D174" s="47">
        <v>3114996.5700000003</v>
      </c>
      <c r="E174" s="47">
        <v>0</v>
      </c>
      <c r="F174" s="32">
        <v>0</v>
      </c>
      <c r="G174" s="47">
        <v>0</v>
      </c>
      <c r="H174" s="47">
        <v>0</v>
      </c>
      <c r="I174" s="32">
        <v>4</v>
      </c>
      <c r="J174" s="47">
        <v>3114996.5700000003</v>
      </c>
      <c r="K174" s="47">
        <v>0</v>
      </c>
    </row>
    <row r="175" spans="1:11" x14ac:dyDescent="0.25">
      <c r="A175" s="18" t="s">
        <v>2771</v>
      </c>
      <c r="B175" s="18" t="s">
        <v>37</v>
      </c>
      <c r="C175" s="32">
        <v>1</v>
      </c>
      <c r="D175" s="47">
        <v>14618.48</v>
      </c>
      <c r="E175" s="47">
        <v>0</v>
      </c>
      <c r="F175" s="32">
        <v>0</v>
      </c>
      <c r="G175" s="47">
        <v>0</v>
      </c>
      <c r="H175" s="47">
        <v>0</v>
      </c>
      <c r="I175" s="32">
        <v>1</v>
      </c>
      <c r="J175" s="47">
        <v>14618.48</v>
      </c>
      <c r="K175" s="47">
        <v>0</v>
      </c>
    </row>
    <row r="176" spans="1:11" x14ac:dyDescent="0.25">
      <c r="A176" s="18" t="s">
        <v>2051</v>
      </c>
      <c r="B176" s="18" t="s">
        <v>37</v>
      </c>
      <c r="C176" s="32">
        <v>0</v>
      </c>
      <c r="D176" s="47">
        <v>0</v>
      </c>
      <c r="E176" s="47">
        <v>0</v>
      </c>
      <c r="F176" s="32">
        <v>12</v>
      </c>
      <c r="G176" s="47">
        <v>12483944.920000002</v>
      </c>
      <c r="H176" s="47">
        <v>3934225.25</v>
      </c>
      <c r="I176" s="32">
        <v>12</v>
      </c>
      <c r="J176" s="47">
        <v>12483944.920000002</v>
      </c>
      <c r="K176" s="47">
        <v>3934225.25</v>
      </c>
    </row>
    <row r="177" spans="1:11" x14ac:dyDescent="0.25">
      <c r="A177" s="18" t="s">
        <v>2055</v>
      </c>
      <c r="B177" s="18" t="s">
        <v>37</v>
      </c>
      <c r="C177" s="32">
        <v>7</v>
      </c>
      <c r="D177" s="47">
        <v>3716094.2899999996</v>
      </c>
      <c r="E177" s="47">
        <v>51927.78</v>
      </c>
      <c r="F177" s="32">
        <v>0</v>
      </c>
      <c r="G177" s="47">
        <v>0</v>
      </c>
      <c r="H177" s="47">
        <v>0</v>
      </c>
      <c r="I177" s="32">
        <v>7</v>
      </c>
      <c r="J177" s="47">
        <v>3716094.2899999996</v>
      </c>
      <c r="K177" s="47">
        <v>51927.78</v>
      </c>
    </row>
    <row r="178" spans="1:11" x14ac:dyDescent="0.25">
      <c r="A178" s="18" t="s">
        <v>2772</v>
      </c>
      <c r="B178" s="18" t="s">
        <v>37</v>
      </c>
      <c r="C178" s="32">
        <v>4</v>
      </c>
      <c r="D178" s="47">
        <v>4748394.95</v>
      </c>
      <c r="E178" s="47">
        <v>1484158.0199999998</v>
      </c>
      <c r="F178" s="32">
        <v>8</v>
      </c>
      <c r="G178" s="47">
        <v>989284.54999999993</v>
      </c>
      <c r="H178" s="47">
        <v>874438.95000000007</v>
      </c>
      <c r="I178" s="32">
        <v>12</v>
      </c>
      <c r="J178" s="47">
        <v>5737679.5</v>
      </c>
      <c r="K178" s="47">
        <v>2358596.9699999997</v>
      </c>
    </row>
    <row r="179" spans="1:11" x14ac:dyDescent="0.25">
      <c r="A179" s="18" t="s">
        <v>2019</v>
      </c>
      <c r="B179" s="18" t="s">
        <v>37</v>
      </c>
      <c r="C179" s="32">
        <v>0</v>
      </c>
      <c r="D179" s="47">
        <v>0</v>
      </c>
      <c r="E179" s="47">
        <v>0</v>
      </c>
      <c r="F179" s="32">
        <v>1</v>
      </c>
      <c r="G179" s="47">
        <v>648200.64</v>
      </c>
      <c r="H179" s="47">
        <v>0</v>
      </c>
      <c r="I179" s="32">
        <v>1</v>
      </c>
      <c r="J179" s="47">
        <v>648200.64</v>
      </c>
      <c r="K179" s="47">
        <v>0</v>
      </c>
    </row>
    <row r="180" spans="1:11" x14ac:dyDescent="0.25">
      <c r="A180" s="18" t="s">
        <v>2020</v>
      </c>
      <c r="B180" s="18" t="s">
        <v>37</v>
      </c>
      <c r="C180" s="32">
        <v>0</v>
      </c>
      <c r="D180" s="47">
        <v>0</v>
      </c>
      <c r="E180" s="47">
        <v>0</v>
      </c>
      <c r="F180" s="32">
        <v>3</v>
      </c>
      <c r="G180" s="47">
        <v>3498474.8200000003</v>
      </c>
      <c r="H180" s="47">
        <v>1120724.3500000001</v>
      </c>
      <c r="I180" s="32">
        <v>3</v>
      </c>
      <c r="J180" s="47">
        <v>3498474.8200000003</v>
      </c>
      <c r="K180" s="47">
        <v>1120724.3500000001</v>
      </c>
    </row>
    <row r="181" spans="1:11" x14ac:dyDescent="0.25">
      <c r="A181" s="18" t="s">
        <v>2023</v>
      </c>
      <c r="B181" s="18" t="s">
        <v>37</v>
      </c>
      <c r="C181" s="32">
        <v>5</v>
      </c>
      <c r="D181" s="47">
        <v>4030089.5700000003</v>
      </c>
      <c r="E181" s="47">
        <v>1275688.52</v>
      </c>
      <c r="F181" s="32">
        <v>0</v>
      </c>
      <c r="G181" s="47">
        <v>0</v>
      </c>
      <c r="H181" s="47">
        <v>0</v>
      </c>
      <c r="I181" s="32">
        <v>5</v>
      </c>
      <c r="J181" s="47">
        <v>4030089.5700000003</v>
      </c>
      <c r="K181" s="47">
        <v>1275688.52</v>
      </c>
    </row>
    <row r="182" spans="1:11" x14ac:dyDescent="0.25">
      <c r="A182" s="18" t="s">
        <v>2032</v>
      </c>
      <c r="B182" s="18" t="s">
        <v>37</v>
      </c>
      <c r="C182" s="32">
        <v>4</v>
      </c>
      <c r="D182" s="47">
        <v>8020006.4399999995</v>
      </c>
      <c r="E182" s="47">
        <v>1628941.9999999998</v>
      </c>
      <c r="F182" s="32">
        <v>0</v>
      </c>
      <c r="G182" s="47">
        <v>0</v>
      </c>
      <c r="H182" s="47">
        <v>0</v>
      </c>
      <c r="I182" s="32">
        <v>4</v>
      </c>
      <c r="J182" s="47">
        <v>8020006.4399999995</v>
      </c>
      <c r="K182" s="47">
        <v>1628941.9999999998</v>
      </c>
    </row>
    <row r="183" spans="1:11" x14ac:dyDescent="0.25">
      <c r="A183" s="18" t="s">
        <v>2037</v>
      </c>
      <c r="B183" s="18" t="s">
        <v>37</v>
      </c>
      <c r="C183" s="32">
        <v>0</v>
      </c>
      <c r="D183" s="47">
        <v>0</v>
      </c>
      <c r="E183" s="47">
        <v>0</v>
      </c>
      <c r="F183" s="32">
        <v>2</v>
      </c>
      <c r="G183" s="47">
        <v>367122.98000000004</v>
      </c>
      <c r="H183" s="47">
        <v>86091.83</v>
      </c>
      <c r="I183" s="32">
        <v>2</v>
      </c>
      <c r="J183" s="47">
        <v>367122.98000000004</v>
      </c>
      <c r="K183" s="47">
        <v>86091.83</v>
      </c>
    </row>
    <row r="184" spans="1:11" x14ac:dyDescent="0.25">
      <c r="A184" s="18" t="s">
        <v>2042</v>
      </c>
      <c r="B184" s="18" t="s">
        <v>37</v>
      </c>
      <c r="C184" s="32">
        <v>2</v>
      </c>
      <c r="D184" s="47">
        <v>1503831</v>
      </c>
      <c r="E184" s="47">
        <v>87807.9</v>
      </c>
      <c r="F184" s="32">
        <v>1</v>
      </c>
      <c r="G184" s="47">
        <v>0</v>
      </c>
      <c r="H184" s="47">
        <v>528631.47</v>
      </c>
      <c r="I184" s="32">
        <v>3</v>
      </c>
      <c r="J184" s="47">
        <v>1503831</v>
      </c>
      <c r="K184" s="47">
        <v>616439.37</v>
      </c>
    </row>
    <row r="185" spans="1:11" x14ac:dyDescent="0.25">
      <c r="A185" s="18" t="s">
        <v>2043</v>
      </c>
      <c r="B185" s="18" t="s">
        <v>37</v>
      </c>
      <c r="C185" s="32">
        <v>3</v>
      </c>
      <c r="D185" s="47">
        <v>382147.87999999995</v>
      </c>
      <c r="E185" s="47">
        <v>127751.23999999999</v>
      </c>
      <c r="F185" s="32">
        <v>16</v>
      </c>
      <c r="G185" s="47">
        <v>2393071.3099999996</v>
      </c>
      <c r="H185" s="47">
        <v>1540283.24</v>
      </c>
      <c r="I185" s="32">
        <v>19</v>
      </c>
      <c r="J185" s="47">
        <v>2775219.1899999995</v>
      </c>
      <c r="K185" s="47">
        <v>1668034.48</v>
      </c>
    </row>
    <row r="186" spans="1:11" x14ac:dyDescent="0.25">
      <c r="A186" s="18" t="s">
        <v>1965</v>
      </c>
      <c r="B186" s="18" t="s">
        <v>37</v>
      </c>
      <c r="C186" s="32">
        <v>0</v>
      </c>
      <c r="D186" s="47">
        <v>0</v>
      </c>
      <c r="E186" s="47">
        <v>0</v>
      </c>
      <c r="F186" s="32">
        <v>34</v>
      </c>
      <c r="G186" s="47">
        <v>3184554.6900000004</v>
      </c>
      <c r="H186" s="47">
        <v>9940786.7700000014</v>
      </c>
      <c r="I186" s="32">
        <v>34</v>
      </c>
      <c r="J186" s="47">
        <v>3184554.6900000004</v>
      </c>
      <c r="K186" s="47">
        <v>9940786.7700000014</v>
      </c>
    </row>
    <row r="187" spans="1:11" x14ac:dyDescent="0.25">
      <c r="A187" s="18" t="s">
        <v>1970</v>
      </c>
      <c r="B187" s="18" t="s">
        <v>37</v>
      </c>
      <c r="C187" s="32">
        <v>5</v>
      </c>
      <c r="D187" s="47">
        <v>4160296.01</v>
      </c>
      <c r="E187" s="47">
        <v>564110.38</v>
      </c>
      <c r="F187" s="32">
        <v>0</v>
      </c>
      <c r="G187" s="47">
        <v>0</v>
      </c>
      <c r="H187" s="47">
        <v>0</v>
      </c>
      <c r="I187" s="32">
        <v>5</v>
      </c>
      <c r="J187" s="47">
        <v>4160296.01</v>
      </c>
      <c r="K187" s="47">
        <v>564110.38</v>
      </c>
    </row>
    <row r="188" spans="1:11" x14ac:dyDescent="0.25">
      <c r="A188" s="18" t="s">
        <v>1976</v>
      </c>
      <c r="B188" s="18" t="s">
        <v>37</v>
      </c>
      <c r="C188" s="32">
        <v>7</v>
      </c>
      <c r="D188" s="47">
        <v>1291036.6300000001</v>
      </c>
      <c r="E188" s="47">
        <v>575190.97</v>
      </c>
      <c r="F188" s="32">
        <v>0</v>
      </c>
      <c r="G188" s="47">
        <v>0</v>
      </c>
      <c r="H188" s="47">
        <v>0</v>
      </c>
      <c r="I188" s="32">
        <v>7</v>
      </c>
      <c r="J188" s="47">
        <v>1291036.6300000001</v>
      </c>
      <c r="K188" s="47">
        <v>575190.97</v>
      </c>
    </row>
    <row r="189" spans="1:11" x14ac:dyDescent="0.25">
      <c r="A189" s="18" t="s">
        <v>1986</v>
      </c>
      <c r="B189" s="18" t="s">
        <v>37</v>
      </c>
      <c r="C189" s="32">
        <v>1</v>
      </c>
      <c r="D189" s="47">
        <v>69930.36</v>
      </c>
      <c r="E189" s="47">
        <v>0</v>
      </c>
      <c r="F189" s="32">
        <v>0</v>
      </c>
      <c r="G189" s="47">
        <v>0</v>
      </c>
      <c r="H189" s="47">
        <v>0</v>
      </c>
      <c r="I189" s="32">
        <v>1</v>
      </c>
      <c r="J189" s="47">
        <v>69930.36</v>
      </c>
      <c r="K189" s="47">
        <v>0</v>
      </c>
    </row>
    <row r="190" spans="1:11" x14ac:dyDescent="0.25">
      <c r="A190" s="18" t="s">
        <v>1987</v>
      </c>
      <c r="B190" s="18" t="s">
        <v>37</v>
      </c>
      <c r="C190" s="32">
        <v>10</v>
      </c>
      <c r="D190" s="47">
        <v>2397472.31</v>
      </c>
      <c r="E190" s="47">
        <v>1008138.6399999999</v>
      </c>
      <c r="F190" s="32">
        <v>1</v>
      </c>
      <c r="G190" s="47">
        <v>440546.8</v>
      </c>
      <c r="H190" s="47">
        <v>103364.73</v>
      </c>
      <c r="I190" s="32">
        <v>11</v>
      </c>
      <c r="J190" s="47">
        <v>2838019.11</v>
      </c>
      <c r="K190" s="47">
        <v>1111503.3699999999</v>
      </c>
    </row>
    <row r="191" spans="1:11" x14ac:dyDescent="0.25">
      <c r="A191" s="18" t="s">
        <v>2015</v>
      </c>
      <c r="B191" s="18" t="s">
        <v>37</v>
      </c>
      <c r="C191" s="32">
        <v>4</v>
      </c>
      <c r="D191" s="47">
        <v>556684.65</v>
      </c>
      <c r="E191" s="47">
        <v>423966.32</v>
      </c>
      <c r="F191" s="32">
        <v>0</v>
      </c>
      <c r="G191" s="47">
        <v>0</v>
      </c>
      <c r="H191" s="47">
        <v>0</v>
      </c>
      <c r="I191" s="32">
        <v>4</v>
      </c>
      <c r="J191" s="47">
        <v>556684.65</v>
      </c>
      <c r="K191" s="47">
        <v>423966.32</v>
      </c>
    </row>
    <row r="192" spans="1:11" x14ac:dyDescent="0.25">
      <c r="A192" s="18" t="s">
        <v>2877</v>
      </c>
      <c r="B192" s="18" t="s">
        <v>37</v>
      </c>
      <c r="C192" s="32">
        <v>0</v>
      </c>
      <c r="D192" s="47">
        <v>0</v>
      </c>
      <c r="E192" s="47">
        <v>0</v>
      </c>
      <c r="F192" s="32">
        <v>2</v>
      </c>
      <c r="G192" s="47">
        <v>169624.77</v>
      </c>
      <c r="H192" s="47">
        <v>67604.67</v>
      </c>
      <c r="I192" s="32">
        <v>2</v>
      </c>
      <c r="J192" s="47">
        <v>169624.77</v>
      </c>
      <c r="K192" s="47">
        <v>67604.67</v>
      </c>
    </row>
    <row r="193" spans="1:11" x14ac:dyDescent="0.25">
      <c r="A193" s="18" t="s">
        <v>1935</v>
      </c>
      <c r="B193" s="18" t="s">
        <v>37</v>
      </c>
      <c r="C193" s="32">
        <v>0</v>
      </c>
      <c r="D193" s="47">
        <v>0</v>
      </c>
      <c r="E193" s="47">
        <v>0</v>
      </c>
      <c r="F193" s="32">
        <v>3</v>
      </c>
      <c r="G193" s="47">
        <v>2345194.13</v>
      </c>
      <c r="H193" s="47">
        <v>1659131.01</v>
      </c>
      <c r="I193" s="32">
        <v>3</v>
      </c>
      <c r="J193" s="47">
        <v>2345194.13</v>
      </c>
      <c r="K193" s="47">
        <v>1659131.01</v>
      </c>
    </row>
    <row r="194" spans="1:11" x14ac:dyDescent="0.25">
      <c r="A194" s="18" t="s">
        <v>1936</v>
      </c>
      <c r="B194" s="18" t="s">
        <v>37</v>
      </c>
      <c r="C194" s="32">
        <v>11</v>
      </c>
      <c r="D194" s="47">
        <v>395000</v>
      </c>
      <c r="E194" s="47">
        <v>890687.68</v>
      </c>
      <c r="F194" s="32">
        <v>0</v>
      </c>
      <c r="G194" s="47">
        <v>0</v>
      </c>
      <c r="H194" s="47">
        <v>0</v>
      </c>
      <c r="I194" s="32">
        <v>11</v>
      </c>
      <c r="J194" s="47">
        <v>395000</v>
      </c>
      <c r="K194" s="47">
        <v>890687.68</v>
      </c>
    </row>
    <row r="195" spans="1:11" x14ac:dyDescent="0.25">
      <c r="A195" s="18" t="s">
        <v>2864</v>
      </c>
      <c r="B195" s="18" t="s">
        <v>37</v>
      </c>
      <c r="C195" s="32">
        <v>3</v>
      </c>
      <c r="D195" s="47">
        <v>3779833.4499999997</v>
      </c>
      <c r="E195" s="47">
        <v>626040.4</v>
      </c>
      <c r="F195" s="32">
        <v>0</v>
      </c>
      <c r="G195" s="47">
        <v>0</v>
      </c>
      <c r="H195" s="47">
        <v>0</v>
      </c>
      <c r="I195" s="32">
        <v>3</v>
      </c>
      <c r="J195" s="47">
        <v>3779833.4499999997</v>
      </c>
      <c r="K195" s="47">
        <v>626040.4</v>
      </c>
    </row>
    <row r="196" spans="1:11" x14ac:dyDescent="0.25">
      <c r="A196" s="18" t="s">
        <v>1940</v>
      </c>
      <c r="B196" s="18" t="s">
        <v>37</v>
      </c>
      <c r="C196" s="32">
        <v>6</v>
      </c>
      <c r="D196" s="47">
        <v>5921943.25</v>
      </c>
      <c r="E196" s="47">
        <v>4003120.69</v>
      </c>
      <c r="F196" s="32">
        <v>0</v>
      </c>
      <c r="G196" s="47">
        <v>0</v>
      </c>
      <c r="H196" s="47">
        <v>0</v>
      </c>
      <c r="I196" s="32">
        <v>6</v>
      </c>
      <c r="J196" s="47">
        <v>5921943.25</v>
      </c>
      <c r="K196" s="47">
        <v>4003120.69</v>
      </c>
    </row>
    <row r="197" spans="1:11" x14ac:dyDescent="0.25">
      <c r="A197" s="18" t="s">
        <v>1958</v>
      </c>
      <c r="B197" s="18" t="s">
        <v>37</v>
      </c>
      <c r="C197" s="32">
        <v>1</v>
      </c>
      <c r="D197" s="47">
        <v>528083.11</v>
      </c>
      <c r="E197" s="47">
        <v>189635.65</v>
      </c>
      <c r="F197" s="32">
        <v>28</v>
      </c>
      <c r="G197" s="47">
        <v>0</v>
      </c>
      <c r="H197" s="47">
        <v>403599.47000000003</v>
      </c>
      <c r="I197" s="32">
        <v>29</v>
      </c>
      <c r="J197" s="47">
        <v>528083.11</v>
      </c>
      <c r="K197" s="47">
        <v>593235.12</v>
      </c>
    </row>
    <row r="198" spans="1:11" x14ac:dyDescent="0.25">
      <c r="A198" s="18" t="s">
        <v>1961</v>
      </c>
      <c r="B198" s="18" t="s">
        <v>37</v>
      </c>
      <c r="C198" s="32">
        <v>4</v>
      </c>
      <c r="D198" s="47">
        <v>2282278.4699999997</v>
      </c>
      <c r="E198" s="47">
        <v>131600</v>
      </c>
      <c r="F198" s="32">
        <v>0</v>
      </c>
      <c r="G198" s="47">
        <v>0</v>
      </c>
      <c r="H198" s="47">
        <v>0</v>
      </c>
      <c r="I198" s="32">
        <v>4</v>
      </c>
      <c r="J198" s="47">
        <v>2282278.4699999997</v>
      </c>
      <c r="K198" s="47">
        <v>131600</v>
      </c>
    </row>
    <row r="199" spans="1:11" x14ac:dyDescent="0.25">
      <c r="A199" s="18" t="s">
        <v>1962</v>
      </c>
      <c r="B199" s="18" t="s">
        <v>37</v>
      </c>
      <c r="C199" s="32">
        <v>1</v>
      </c>
      <c r="D199" s="47">
        <v>137666.1</v>
      </c>
      <c r="E199" s="47">
        <v>46676.63</v>
      </c>
      <c r="F199" s="32">
        <v>0</v>
      </c>
      <c r="G199" s="47">
        <v>0</v>
      </c>
      <c r="H199" s="47">
        <v>0</v>
      </c>
      <c r="I199" s="32">
        <v>1</v>
      </c>
      <c r="J199" s="47">
        <v>137666.1</v>
      </c>
      <c r="K199" s="47">
        <v>46676.63</v>
      </c>
    </row>
    <row r="200" spans="1:11" x14ac:dyDescent="0.25">
      <c r="A200" s="18" t="s">
        <v>1909</v>
      </c>
      <c r="B200" s="18" t="s">
        <v>37</v>
      </c>
      <c r="C200" s="32">
        <v>13</v>
      </c>
      <c r="D200" s="47">
        <v>7564558.3300000001</v>
      </c>
      <c r="E200" s="47">
        <v>1959477.3599999999</v>
      </c>
      <c r="F200" s="32">
        <v>0</v>
      </c>
      <c r="G200" s="47">
        <v>0</v>
      </c>
      <c r="H200" s="47">
        <v>0</v>
      </c>
      <c r="I200" s="32">
        <v>13</v>
      </c>
      <c r="J200" s="47">
        <v>7564558.3300000001</v>
      </c>
      <c r="K200" s="47">
        <v>1959477.3599999999</v>
      </c>
    </row>
    <row r="201" spans="1:11" x14ac:dyDescent="0.25">
      <c r="A201" s="18" t="s">
        <v>1933</v>
      </c>
      <c r="B201" s="18" t="s">
        <v>37</v>
      </c>
      <c r="C201" s="32">
        <v>1</v>
      </c>
      <c r="D201" s="47">
        <v>0</v>
      </c>
      <c r="E201" s="47">
        <v>2908451.93</v>
      </c>
      <c r="F201" s="32">
        <v>1</v>
      </c>
      <c r="G201" s="47">
        <v>772248.16</v>
      </c>
      <c r="H201" s="47">
        <v>850808.41</v>
      </c>
      <c r="I201" s="32">
        <v>2</v>
      </c>
      <c r="J201" s="47">
        <v>772248.16</v>
      </c>
      <c r="K201" s="47">
        <v>3759260.3400000003</v>
      </c>
    </row>
    <row r="202" spans="1:11" x14ac:dyDescent="0.25">
      <c r="A202" s="18" t="s">
        <v>2832</v>
      </c>
      <c r="B202" s="18" t="s">
        <v>37</v>
      </c>
      <c r="C202" s="32">
        <v>1</v>
      </c>
      <c r="D202" s="47">
        <v>143727.42000000001</v>
      </c>
      <c r="E202" s="47">
        <v>108727.55</v>
      </c>
      <c r="F202" s="32">
        <v>0</v>
      </c>
      <c r="G202" s="47">
        <v>0</v>
      </c>
      <c r="H202" s="47">
        <v>0</v>
      </c>
      <c r="I202" s="32">
        <v>1</v>
      </c>
      <c r="J202" s="47">
        <v>143727.42000000001</v>
      </c>
      <c r="K202" s="47">
        <v>108727.55</v>
      </c>
    </row>
    <row r="203" spans="1:11" x14ac:dyDescent="0.25">
      <c r="A203" s="18" t="s">
        <v>1891</v>
      </c>
      <c r="B203" s="18" t="s">
        <v>37</v>
      </c>
      <c r="C203" s="32">
        <v>0</v>
      </c>
      <c r="D203" s="47">
        <v>0</v>
      </c>
      <c r="E203" s="47">
        <v>0</v>
      </c>
      <c r="F203" s="32">
        <v>4</v>
      </c>
      <c r="G203" s="47">
        <v>8002085.8900000006</v>
      </c>
      <c r="H203" s="47">
        <v>579100.66999999993</v>
      </c>
      <c r="I203" s="32">
        <v>4</v>
      </c>
      <c r="J203" s="47">
        <v>8002085.8900000006</v>
      </c>
      <c r="K203" s="47">
        <v>579100.66999999993</v>
      </c>
    </row>
    <row r="204" spans="1:11" x14ac:dyDescent="0.25">
      <c r="A204" s="18" t="s">
        <v>1887</v>
      </c>
      <c r="B204" s="18" t="s">
        <v>37</v>
      </c>
      <c r="C204" s="32">
        <v>0</v>
      </c>
      <c r="D204" s="47">
        <v>0</v>
      </c>
      <c r="E204" s="47">
        <v>0</v>
      </c>
      <c r="F204" s="32">
        <v>7</v>
      </c>
      <c r="G204" s="47">
        <v>2498383.11</v>
      </c>
      <c r="H204" s="47">
        <v>970746.42999999993</v>
      </c>
      <c r="I204" s="32">
        <v>7</v>
      </c>
      <c r="J204" s="47">
        <v>2498383.11</v>
      </c>
      <c r="K204" s="47">
        <v>970746.42999999993</v>
      </c>
    </row>
    <row r="205" spans="1:11" x14ac:dyDescent="0.25">
      <c r="A205" s="18" t="s">
        <v>1879</v>
      </c>
      <c r="B205" s="18" t="s">
        <v>37</v>
      </c>
      <c r="C205" s="32">
        <v>2</v>
      </c>
      <c r="D205" s="47">
        <v>916057.41999999993</v>
      </c>
      <c r="E205" s="47">
        <v>253870.33</v>
      </c>
      <c r="F205" s="32">
        <v>0</v>
      </c>
      <c r="G205" s="47">
        <v>0</v>
      </c>
      <c r="H205" s="47">
        <v>0</v>
      </c>
      <c r="I205" s="32">
        <v>2</v>
      </c>
      <c r="J205" s="47">
        <v>916057.41999999993</v>
      </c>
      <c r="K205" s="47">
        <v>253870.33</v>
      </c>
    </row>
    <row r="206" spans="1:11" x14ac:dyDescent="0.25">
      <c r="A206" s="18" t="s">
        <v>1874</v>
      </c>
      <c r="B206" s="18" t="s">
        <v>37</v>
      </c>
      <c r="C206" s="32">
        <v>1</v>
      </c>
      <c r="D206" s="47">
        <v>364690.3</v>
      </c>
      <c r="E206" s="47">
        <v>315426.7</v>
      </c>
      <c r="F206" s="32">
        <v>0</v>
      </c>
      <c r="G206" s="47">
        <v>0</v>
      </c>
      <c r="H206" s="47">
        <v>0</v>
      </c>
      <c r="I206" s="32">
        <v>1</v>
      </c>
      <c r="J206" s="47">
        <v>364690.3</v>
      </c>
      <c r="K206" s="47">
        <v>315426.7</v>
      </c>
    </row>
    <row r="207" spans="1:11" x14ac:dyDescent="0.25">
      <c r="A207" s="18" t="s">
        <v>1857</v>
      </c>
      <c r="B207" s="18" t="s">
        <v>37</v>
      </c>
      <c r="C207" s="32">
        <v>6</v>
      </c>
      <c r="D207" s="47">
        <v>2703484.2600000002</v>
      </c>
      <c r="E207" s="47">
        <v>1251997.6999999997</v>
      </c>
      <c r="F207" s="32">
        <v>0</v>
      </c>
      <c r="G207" s="47">
        <v>0</v>
      </c>
      <c r="H207" s="47">
        <v>0</v>
      </c>
      <c r="I207" s="32">
        <v>6</v>
      </c>
      <c r="J207" s="47">
        <v>2703484.2600000002</v>
      </c>
      <c r="K207" s="47">
        <v>1251997.6999999997</v>
      </c>
    </row>
    <row r="208" spans="1:11" x14ac:dyDescent="0.25">
      <c r="A208" s="18" t="s">
        <v>1852</v>
      </c>
      <c r="B208" s="18" t="s">
        <v>37</v>
      </c>
      <c r="C208" s="32">
        <v>7</v>
      </c>
      <c r="D208" s="47">
        <v>1215539.77</v>
      </c>
      <c r="E208" s="47">
        <v>712553.59</v>
      </c>
      <c r="F208" s="32">
        <v>0</v>
      </c>
      <c r="G208" s="47">
        <v>0</v>
      </c>
      <c r="H208" s="47">
        <v>0</v>
      </c>
      <c r="I208" s="32">
        <v>7</v>
      </c>
      <c r="J208" s="47">
        <v>1215539.77</v>
      </c>
      <c r="K208" s="47">
        <v>712553.59</v>
      </c>
    </row>
    <row r="209" spans="1:11" x14ac:dyDescent="0.25">
      <c r="A209" s="18" t="s">
        <v>1827</v>
      </c>
      <c r="B209" s="18" t="s">
        <v>37</v>
      </c>
      <c r="C209" s="32">
        <v>0</v>
      </c>
      <c r="D209" s="47">
        <v>0</v>
      </c>
      <c r="E209" s="47">
        <v>0</v>
      </c>
      <c r="F209" s="32">
        <v>10</v>
      </c>
      <c r="G209" s="47">
        <v>12144071.77</v>
      </c>
      <c r="H209" s="47">
        <v>4517172.5199999996</v>
      </c>
      <c r="I209" s="32">
        <v>10</v>
      </c>
      <c r="J209" s="47">
        <v>12144071.77</v>
      </c>
      <c r="K209" s="47">
        <v>4517172.5199999996</v>
      </c>
    </row>
    <row r="210" spans="1:11" x14ac:dyDescent="0.25">
      <c r="A210" s="9"/>
      <c r="B210" s="46">
        <f>COUNTIF(B6:B209,"&lt;&gt;")</f>
        <v>204</v>
      </c>
      <c r="C210" s="9">
        <f>SUM(C6:C209)</f>
        <v>876</v>
      </c>
      <c r="D210" s="30">
        <f>SUM(D6:D209)</f>
        <v>4469918259.389781</v>
      </c>
      <c r="E210" s="30">
        <f>SUM(E6:E209)</f>
        <v>1186158176.2190907</v>
      </c>
      <c r="F210" s="9">
        <f>SUM(F6:F209)</f>
        <v>672</v>
      </c>
      <c r="G210" s="30">
        <f>SUM(G6:G209)</f>
        <v>2777507876.1100011</v>
      </c>
      <c r="H210" s="30">
        <f>SUM(H6:H209)</f>
        <v>1194019396.8900006</v>
      </c>
      <c r="I210" s="9">
        <f>SUM(I6:I209)</f>
        <v>1548</v>
      </c>
      <c r="J210" s="30">
        <f>SUM(J6:J209)</f>
        <v>7247426135.4997778</v>
      </c>
      <c r="K210" s="30">
        <f>SUM(K6:K209)</f>
        <v>2380177573.1090899</v>
      </c>
    </row>
  </sheetData>
  <autoFilter ref="A5:K210"/>
  <mergeCells count="3">
    <mergeCell ref="C4:E4"/>
    <mergeCell ref="F4:H4"/>
    <mergeCell ref="I4:K4"/>
  </mergeCells>
  <pageMargins left="0.51181102362204722" right="0.51181102362204722" top="0.78740157480314965" bottom="0.78740157480314965" header="0.31496062992125984" footer="0.31496062992125984"/>
  <pageSetup paperSize="9" scale="2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2"/>
  <sheetViews>
    <sheetView zoomScaleNormal="100" workbookViewId="0">
      <selection activeCell="F5" sqref="F5"/>
    </sheetView>
  </sheetViews>
  <sheetFormatPr defaultRowHeight="15" x14ac:dyDescent="0.25"/>
  <cols>
    <col min="2" max="2" width="22.42578125" bestFit="1" customWidth="1"/>
    <col min="3" max="3" width="68.42578125" customWidth="1"/>
    <col min="4" max="4" width="11.42578125" bestFit="1" customWidth="1"/>
  </cols>
  <sheetData>
    <row r="1" spans="1:16384" ht="63"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c r="XFC1" s="31"/>
      <c r="XFD1" s="31"/>
    </row>
    <row r="2" spans="1:16384" ht="18.75" x14ac:dyDescent="0.25">
      <c r="B2" s="64" t="s">
        <v>8527</v>
      </c>
    </row>
    <row r="3" spans="1:16384" ht="15.75" thickBot="1" x14ac:dyDescent="0.3">
      <c r="B3" s="31" t="s">
        <v>8528</v>
      </c>
    </row>
    <row r="4" spans="1:16384" ht="15.75" thickBot="1" x14ac:dyDescent="0.3">
      <c r="B4" s="113" t="s">
        <v>21</v>
      </c>
      <c r="C4" s="114" t="s">
        <v>22</v>
      </c>
    </row>
    <row r="5" spans="1:16384" ht="15.75" thickBot="1" x14ac:dyDescent="0.3">
      <c r="B5" s="106" t="s">
        <v>182</v>
      </c>
      <c r="C5" s="105" t="s">
        <v>2694</v>
      </c>
    </row>
    <row r="6" spans="1:16384" ht="15.75" thickBot="1" x14ac:dyDescent="0.3">
      <c r="B6" s="109" t="s">
        <v>182</v>
      </c>
      <c r="C6" s="107" t="s">
        <v>2695</v>
      </c>
    </row>
    <row r="7" spans="1:16384" ht="15.75" thickBot="1" x14ac:dyDescent="0.3">
      <c r="B7" s="109" t="s">
        <v>182</v>
      </c>
      <c r="C7" s="105" t="s">
        <v>2389</v>
      </c>
    </row>
    <row r="8" spans="1:16384" ht="15.75" thickBot="1" x14ac:dyDescent="0.3">
      <c r="B8" s="109" t="s">
        <v>182</v>
      </c>
      <c r="C8" s="107" t="s">
        <v>2651</v>
      </c>
    </row>
    <row r="9" spans="1:16384" ht="15.75" thickBot="1" x14ac:dyDescent="0.3">
      <c r="B9" s="109" t="s">
        <v>182</v>
      </c>
      <c r="C9" s="105" t="s">
        <v>512</v>
      </c>
    </row>
    <row r="10" spans="1:16384" ht="15.75" thickBot="1" x14ac:dyDescent="0.3">
      <c r="B10" s="109" t="s">
        <v>182</v>
      </c>
      <c r="C10" s="105" t="s">
        <v>244</v>
      </c>
    </row>
    <row r="11" spans="1:16384" ht="15.75" thickBot="1" x14ac:dyDescent="0.3">
      <c r="B11" s="109" t="s">
        <v>182</v>
      </c>
      <c r="C11" s="105" t="s">
        <v>312</v>
      </c>
    </row>
    <row r="12" spans="1:16384" ht="15.75" thickBot="1" x14ac:dyDescent="0.3">
      <c r="B12" s="109" t="s">
        <v>182</v>
      </c>
      <c r="C12" s="107" t="s">
        <v>449</v>
      </c>
    </row>
    <row r="13" spans="1:16384" ht="15.75" thickBot="1" x14ac:dyDescent="0.3">
      <c r="B13" s="109" t="s">
        <v>182</v>
      </c>
      <c r="C13" s="107" t="s">
        <v>475</v>
      </c>
    </row>
    <row r="14" spans="1:16384" ht="15.75" thickBot="1" x14ac:dyDescent="0.3">
      <c r="B14" s="106" t="s">
        <v>2706</v>
      </c>
      <c r="C14" s="107" t="s">
        <v>2270</v>
      </c>
    </row>
    <row r="15" spans="1:16384" ht="15.75" thickBot="1" x14ac:dyDescent="0.3">
      <c r="B15" s="104" t="s">
        <v>1823</v>
      </c>
      <c r="C15" s="105" t="s">
        <v>2103</v>
      </c>
    </row>
    <row r="16" spans="1:16384" ht="15.75" thickBot="1" x14ac:dyDescent="0.3">
      <c r="B16" s="104" t="s">
        <v>1823</v>
      </c>
      <c r="C16" s="105" t="s">
        <v>1213</v>
      </c>
    </row>
    <row r="17" spans="2:3" ht="15.75" thickBot="1" x14ac:dyDescent="0.3">
      <c r="B17" s="106" t="s">
        <v>2706</v>
      </c>
      <c r="C17" s="107" t="s">
        <v>7034</v>
      </c>
    </row>
    <row r="18" spans="2:3" ht="15.75" thickBot="1" x14ac:dyDescent="0.3">
      <c r="B18" s="106" t="s">
        <v>1823</v>
      </c>
      <c r="C18" s="107" t="s">
        <v>2305</v>
      </c>
    </row>
    <row r="19" spans="2:3" ht="15.75" thickBot="1" x14ac:dyDescent="0.3">
      <c r="B19" s="106" t="s">
        <v>1823</v>
      </c>
      <c r="C19" s="107" t="s">
        <v>2302</v>
      </c>
    </row>
    <row r="20" spans="2:3" ht="15.75" thickBot="1" x14ac:dyDescent="0.3">
      <c r="B20" s="104" t="s">
        <v>2706</v>
      </c>
      <c r="C20" s="105" t="s">
        <v>7036</v>
      </c>
    </row>
    <row r="21" spans="2:3" ht="15.75" thickBot="1" x14ac:dyDescent="0.3">
      <c r="B21" s="104" t="s">
        <v>2706</v>
      </c>
      <c r="C21" s="105" t="s">
        <v>7037</v>
      </c>
    </row>
    <row r="22" spans="2:3" ht="15.75" thickBot="1" x14ac:dyDescent="0.3">
      <c r="B22" s="109" t="s">
        <v>643</v>
      </c>
      <c r="C22" s="110" t="s">
        <v>37</v>
      </c>
    </row>
    <row r="23" spans="2:3" ht="15.75" thickBot="1" x14ac:dyDescent="0.3">
      <c r="B23" s="104" t="s">
        <v>692</v>
      </c>
      <c r="C23" s="105" t="s">
        <v>37</v>
      </c>
    </row>
    <row r="24" spans="2:3" ht="15.75" thickBot="1" x14ac:dyDescent="0.3">
      <c r="B24" s="104" t="s">
        <v>837</v>
      </c>
      <c r="C24" s="105" t="s">
        <v>37</v>
      </c>
    </row>
    <row r="25" spans="2:3" ht="15.75" thickBot="1" x14ac:dyDescent="0.3">
      <c r="B25" s="104" t="s">
        <v>856</v>
      </c>
      <c r="C25" s="105" t="s">
        <v>37</v>
      </c>
    </row>
    <row r="26" spans="2:3" ht="15.75" thickBot="1" x14ac:dyDescent="0.3">
      <c r="B26" s="111" t="s">
        <v>858</v>
      </c>
      <c r="C26" s="112" t="s">
        <v>37</v>
      </c>
    </row>
    <row r="27" spans="2:3" ht="15.75" thickBot="1" x14ac:dyDescent="0.3">
      <c r="B27" s="104" t="s">
        <v>2852</v>
      </c>
      <c r="C27" s="105" t="s">
        <v>37</v>
      </c>
    </row>
    <row r="28" spans="2:3" ht="15.75" thickBot="1" x14ac:dyDescent="0.3">
      <c r="B28" s="104" t="s">
        <v>904</v>
      </c>
      <c r="C28" s="105" t="s">
        <v>37</v>
      </c>
    </row>
    <row r="29" spans="2:3" ht="15.75" thickBot="1" x14ac:dyDescent="0.3">
      <c r="B29" s="104" t="s">
        <v>905</v>
      </c>
      <c r="C29" s="105" t="s">
        <v>37</v>
      </c>
    </row>
    <row r="30" spans="2:3" ht="15.75" thickBot="1" x14ac:dyDescent="0.3">
      <c r="B30" s="104" t="s">
        <v>1002</v>
      </c>
      <c r="C30" s="105" t="s">
        <v>37</v>
      </c>
    </row>
    <row r="31" spans="2:3" ht="15.75" thickBot="1" x14ac:dyDescent="0.3">
      <c r="B31" s="106" t="s">
        <v>1031</v>
      </c>
      <c r="C31" s="107" t="s">
        <v>37</v>
      </c>
    </row>
    <row r="32" spans="2:3" ht="15.75" thickBot="1" x14ac:dyDescent="0.3">
      <c r="B32" s="106" t="s">
        <v>1040</v>
      </c>
      <c r="C32" s="107" t="s">
        <v>37</v>
      </c>
    </row>
    <row r="33" spans="2:3" ht="15.75" thickBot="1" x14ac:dyDescent="0.3">
      <c r="B33" s="104" t="s">
        <v>2716</v>
      </c>
      <c r="C33" s="105" t="s">
        <v>37</v>
      </c>
    </row>
    <row r="34" spans="2:3" ht="15.75" thickBot="1" x14ac:dyDescent="0.3">
      <c r="B34" s="104" t="s">
        <v>1140</v>
      </c>
      <c r="C34" s="105" t="s">
        <v>37</v>
      </c>
    </row>
    <row r="35" spans="2:3" ht="15.75" thickBot="1" x14ac:dyDescent="0.3">
      <c r="B35" s="104" t="s">
        <v>1145</v>
      </c>
      <c r="C35" s="105" t="s">
        <v>37</v>
      </c>
    </row>
    <row r="36" spans="2:3" ht="15.75" thickBot="1" x14ac:dyDescent="0.3">
      <c r="B36" s="104" t="s">
        <v>1147</v>
      </c>
      <c r="C36" s="105" t="s">
        <v>37</v>
      </c>
    </row>
    <row r="37" spans="2:3" ht="15.75" thickBot="1" x14ac:dyDescent="0.3">
      <c r="B37" s="104" t="s">
        <v>1256</v>
      </c>
      <c r="C37" s="105" t="s">
        <v>37</v>
      </c>
    </row>
    <row r="38" spans="2:3" ht="15.75" thickBot="1" x14ac:dyDescent="0.3">
      <c r="B38" s="104" t="s">
        <v>1260</v>
      </c>
      <c r="C38" s="105" t="s">
        <v>37</v>
      </c>
    </row>
    <row r="39" spans="2:3" ht="15.75" thickBot="1" x14ac:dyDescent="0.3">
      <c r="B39" s="104" t="s">
        <v>2809</v>
      </c>
      <c r="C39" s="105" t="s">
        <v>37</v>
      </c>
    </row>
    <row r="40" spans="2:3" ht="15.75" thickBot="1" x14ac:dyDescent="0.3">
      <c r="B40" s="104" t="s">
        <v>146</v>
      </c>
      <c r="C40" s="105" t="s">
        <v>37</v>
      </c>
    </row>
    <row r="41" spans="2:3" ht="15.75" thickBot="1" x14ac:dyDescent="0.3">
      <c r="B41" s="106" t="s">
        <v>2839</v>
      </c>
      <c r="C41" s="107" t="s">
        <v>37</v>
      </c>
    </row>
    <row r="42" spans="2:3" ht="15.75" thickBot="1" x14ac:dyDescent="0.3">
      <c r="B42" s="104" t="s">
        <v>1320</v>
      </c>
      <c r="C42" s="105" t="s">
        <v>37</v>
      </c>
    </row>
    <row r="43" spans="2:3" ht="15.75" thickBot="1" x14ac:dyDescent="0.3">
      <c r="B43" s="104" t="s">
        <v>1389</v>
      </c>
      <c r="C43" s="105" t="s">
        <v>37</v>
      </c>
    </row>
    <row r="44" spans="2:3" ht="15.75" thickBot="1" x14ac:dyDescent="0.3">
      <c r="B44" s="104" t="s">
        <v>1390</v>
      </c>
      <c r="C44" s="105" t="s">
        <v>37</v>
      </c>
    </row>
    <row r="45" spans="2:3" ht="15.75" thickBot="1" x14ac:dyDescent="0.3">
      <c r="B45" s="106" t="s">
        <v>2767</v>
      </c>
      <c r="C45" s="107" t="s">
        <v>37</v>
      </c>
    </row>
    <row r="46" spans="2:3" ht="15.75" thickBot="1" x14ac:dyDescent="0.3">
      <c r="B46" s="104" t="s">
        <v>1440</v>
      </c>
      <c r="C46" s="105" t="s">
        <v>37</v>
      </c>
    </row>
    <row r="47" spans="2:3" ht="15.75" thickBot="1" x14ac:dyDescent="0.3">
      <c r="B47" s="104" t="s">
        <v>2817</v>
      </c>
      <c r="C47" s="105" t="s">
        <v>37</v>
      </c>
    </row>
    <row r="48" spans="2:3" ht="15.75" thickBot="1" x14ac:dyDescent="0.3">
      <c r="B48" s="104" t="s">
        <v>1452</v>
      </c>
      <c r="C48" s="105" t="s">
        <v>37</v>
      </c>
    </row>
    <row r="49" spans="2:3" ht="15.75" thickBot="1" x14ac:dyDescent="0.3">
      <c r="B49" s="104" t="s">
        <v>2840</v>
      </c>
      <c r="C49" s="105" t="s">
        <v>37</v>
      </c>
    </row>
    <row r="50" spans="2:3" ht="15.75" thickBot="1" x14ac:dyDescent="0.3">
      <c r="B50" s="104" t="s">
        <v>1477</v>
      </c>
      <c r="C50" s="105" t="s">
        <v>37</v>
      </c>
    </row>
    <row r="51" spans="2:3" ht="15.75" thickBot="1" x14ac:dyDescent="0.3">
      <c r="B51" s="106" t="s">
        <v>1506</v>
      </c>
      <c r="C51" s="107" t="s">
        <v>37</v>
      </c>
    </row>
    <row r="52" spans="2:3" ht="15.75" thickBot="1" x14ac:dyDescent="0.3">
      <c r="B52" s="106" t="s">
        <v>1512</v>
      </c>
      <c r="C52" s="107" t="s">
        <v>37</v>
      </c>
    </row>
    <row r="53" spans="2:3" ht="15.75" thickBot="1" x14ac:dyDescent="0.3">
      <c r="B53" s="104" t="s">
        <v>2878</v>
      </c>
      <c r="C53" s="105" t="s">
        <v>37</v>
      </c>
    </row>
    <row r="54" spans="2:3" ht="15.75" thickBot="1" x14ac:dyDescent="0.3">
      <c r="B54" s="104" t="s">
        <v>2830</v>
      </c>
      <c r="C54" s="105" t="s">
        <v>37</v>
      </c>
    </row>
    <row r="55" spans="2:3" ht="15.75" thickBot="1" x14ac:dyDescent="0.3">
      <c r="B55" s="106" t="s">
        <v>1543</v>
      </c>
      <c r="C55" s="107" t="s">
        <v>37</v>
      </c>
    </row>
    <row r="56" spans="2:3" ht="15.75" thickBot="1" x14ac:dyDescent="0.3">
      <c r="B56" s="106" t="s">
        <v>2779</v>
      </c>
      <c r="C56" s="107" t="s">
        <v>37</v>
      </c>
    </row>
    <row r="57" spans="2:3" ht="15.75" thickBot="1" x14ac:dyDescent="0.3">
      <c r="B57" s="104" t="s">
        <v>1544</v>
      </c>
      <c r="C57" s="105" t="s">
        <v>37</v>
      </c>
    </row>
    <row r="58" spans="2:3" ht="15.75" thickBot="1" x14ac:dyDescent="0.3">
      <c r="B58" s="104" t="s">
        <v>1571</v>
      </c>
      <c r="C58" s="105" t="s">
        <v>37</v>
      </c>
    </row>
    <row r="59" spans="2:3" ht="15.75" thickBot="1" x14ac:dyDescent="0.3">
      <c r="B59" s="106" t="s">
        <v>1572</v>
      </c>
      <c r="C59" s="107" t="s">
        <v>37</v>
      </c>
    </row>
    <row r="60" spans="2:3" ht="15.75" thickBot="1" x14ac:dyDescent="0.3">
      <c r="B60" s="104" t="s">
        <v>2831</v>
      </c>
      <c r="C60" s="105" t="s">
        <v>37</v>
      </c>
    </row>
    <row r="61" spans="2:3" ht="15.75" thickBot="1" x14ac:dyDescent="0.3">
      <c r="B61" s="106" t="s">
        <v>1590</v>
      </c>
      <c r="C61" s="107" t="s">
        <v>37</v>
      </c>
    </row>
    <row r="62" spans="2:3" ht="15.75" thickBot="1" x14ac:dyDescent="0.3">
      <c r="B62" s="106" t="s">
        <v>1603</v>
      </c>
      <c r="C62" s="107" t="s">
        <v>37</v>
      </c>
    </row>
    <row r="63" spans="2:3" ht="15.75" thickBot="1" x14ac:dyDescent="0.3">
      <c r="B63" s="104" t="s">
        <v>1817</v>
      </c>
      <c r="C63" s="105" t="s">
        <v>37</v>
      </c>
    </row>
    <row r="64" spans="2:3" ht="15.75" thickBot="1" x14ac:dyDescent="0.3">
      <c r="B64" s="106" t="s">
        <v>1822</v>
      </c>
      <c r="C64" s="107" t="s">
        <v>37</v>
      </c>
    </row>
    <row r="65" spans="2:3" ht="15.75" thickBot="1" x14ac:dyDescent="0.3">
      <c r="B65" s="104" t="s">
        <v>2070</v>
      </c>
      <c r="C65" s="105" t="s">
        <v>37</v>
      </c>
    </row>
    <row r="66" spans="2:3" ht="15.75" thickBot="1" x14ac:dyDescent="0.3">
      <c r="B66" s="104" t="s">
        <v>2073</v>
      </c>
      <c r="C66" s="105" t="s">
        <v>37</v>
      </c>
    </row>
    <row r="67" spans="2:3" ht="15.75" thickBot="1" x14ac:dyDescent="0.3">
      <c r="B67" s="104" t="s">
        <v>2079</v>
      </c>
      <c r="C67" s="105" t="s">
        <v>37</v>
      </c>
    </row>
    <row r="68" spans="2:3" ht="15.75" thickBot="1" x14ac:dyDescent="0.3">
      <c r="B68" s="104" t="s">
        <v>2847</v>
      </c>
      <c r="C68" s="105" t="s">
        <v>37</v>
      </c>
    </row>
    <row r="69" spans="2:3" ht="15.75" thickBot="1" x14ac:dyDescent="0.3">
      <c r="B69" s="104" t="s">
        <v>2862</v>
      </c>
      <c r="C69" s="105" t="s">
        <v>37</v>
      </c>
    </row>
    <row r="70" spans="2:3" ht="15.75" thickBot="1" x14ac:dyDescent="0.3">
      <c r="B70" s="106" t="s">
        <v>2051</v>
      </c>
      <c r="C70" s="107" t="s">
        <v>37</v>
      </c>
    </row>
    <row r="71" spans="2:3" ht="15.75" thickBot="1" x14ac:dyDescent="0.3">
      <c r="B71" s="104" t="s">
        <v>2055</v>
      </c>
      <c r="C71" s="105" t="s">
        <v>37</v>
      </c>
    </row>
    <row r="72" spans="2:3" ht="15.75" thickBot="1" x14ac:dyDescent="0.3">
      <c r="B72" s="104" t="s">
        <v>2058</v>
      </c>
      <c r="C72" s="105" t="s">
        <v>37</v>
      </c>
    </row>
    <row r="73" spans="2:3" ht="15.75" thickBot="1" x14ac:dyDescent="0.3">
      <c r="B73" s="106" t="s">
        <v>2019</v>
      </c>
      <c r="C73" s="107" t="s">
        <v>37</v>
      </c>
    </row>
    <row r="74" spans="2:3" ht="15.75" thickBot="1" x14ac:dyDescent="0.3">
      <c r="B74" s="106" t="s">
        <v>2020</v>
      </c>
      <c r="C74" s="107" t="s">
        <v>37</v>
      </c>
    </row>
    <row r="75" spans="2:3" ht="15.75" thickBot="1" x14ac:dyDescent="0.3">
      <c r="B75" s="104" t="s">
        <v>2037</v>
      </c>
      <c r="C75" s="105" t="s">
        <v>37</v>
      </c>
    </row>
    <row r="76" spans="2:3" ht="15.75" thickBot="1" x14ac:dyDescent="0.3">
      <c r="B76" s="104" t="s">
        <v>1965</v>
      </c>
      <c r="C76" s="105" t="s">
        <v>37</v>
      </c>
    </row>
    <row r="77" spans="2:3" ht="15.75" thickBot="1" x14ac:dyDescent="0.3">
      <c r="B77" s="104" t="s">
        <v>2877</v>
      </c>
      <c r="C77" s="105" t="s">
        <v>37</v>
      </c>
    </row>
    <row r="78" spans="2:3" ht="15.75" thickBot="1" x14ac:dyDescent="0.3">
      <c r="B78" s="106" t="s">
        <v>1935</v>
      </c>
      <c r="C78" s="107" t="s">
        <v>37</v>
      </c>
    </row>
    <row r="79" spans="2:3" ht="15.75" thickBot="1" x14ac:dyDescent="0.3">
      <c r="B79" s="104" t="s">
        <v>1891</v>
      </c>
      <c r="C79" s="105" t="s">
        <v>37</v>
      </c>
    </row>
    <row r="80" spans="2:3" ht="15.75" thickBot="1" x14ac:dyDescent="0.3">
      <c r="B80" s="104" t="s">
        <v>2879</v>
      </c>
      <c r="C80" s="105" t="s">
        <v>37</v>
      </c>
    </row>
    <row r="81" spans="2:3" ht="15.75" thickBot="1" x14ac:dyDescent="0.3">
      <c r="B81" s="104" t="s">
        <v>1887</v>
      </c>
      <c r="C81" s="105" t="s">
        <v>37</v>
      </c>
    </row>
    <row r="82" spans="2:3" ht="15.75" thickBot="1" x14ac:dyDescent="0.3">
      <c r="B82" s="104" t="s">
        <v>1827</v>
      </c>
      <c r="C82" s="105" t="s">
        <v>37</v>
      </c>
    </row>
    <row r="83" spans="2:3" ht="15.75" thickBot="1" x14ac:dyDescent="0.3">
      <c r="B83" s="106" t="s">
        <v>1040</v>
      </c>
      <c r="C83" s="107" t="s">
        <v>125</v>
      </c>
    </row>
    <row r="84" spans="2:3" ht="15.75" thickBot="1" x14ac:dyDescent="0.3">
      <c r="B84" s="106" t="s">
        <v>1058</v>
      </c>
      <c r="C84" s="107" t="s">
        <v>125</v>
      </c>
    </row>
    <row r="85" spans="2:3" ht="15.75" thickBot="1" x14ac:dyDescent="0.3">
      <c r="B85" s="104" t="s">
        <v>1220</v>
      </c>
      <c r="C85" s="105" t="s">
        <v>125</v>
      </c>
    </row>
    <row r="86" spans="2:3" ht="15.75" thickBot="1" x14ac:dyDescent="0.3">
      <c r="B86" s="106" t="s">
        <v>2809</v>
      </c>
      <c r="C86" s="107" t="s">
        <v>125</v>
      </c>
    </row>
    <row r="87" spans="2:3" ht="15.75" thickBot="1" x14ac:dyDescent="0.3">
      <c r="B87" s="106" t="s">
        <v>1439</v>
      </c>
      <c r="C87" s="107" t="s">
        <v>125</v>
      </c>
    </row>
    <row r="88" spans="2:3" ht="15.75" thickBot="1" x14ac:dyDescent="0.3">
      <c r="B88" s="106" t="s">
        <v>1541</v>
      </c>
      <c r="C88" s="107" t="s">
        <v>125</v>
      </c>
    </row>
    <row r="89" spans="2:3" ht="15.75" thickBot="1" x14ac:dyDescent="0.3">
      <c r="B89" s="106" t="s">
        <v>2015</v>
      </c>
      <c r="C89" s="107" t="s">
        <v>125</v>
      </c>
    </row>
    <row r="90" spans="2:3" ht="15.75" thickBot="1" x14ac:dyDescent="0.3">
      <c r="B90" s="106" t="s">
        <v>1935</v>
      </c>
      <c r="C90" s="107" t="s">
        <v>125</v>
      </c>
    </row>
    <row r="91" spans="2:3" ht="15.75" thickBot="1" x14ac:dyDescent="0.3">
      <c r="B91" s="104" t="s">
        <v>1824</v>
      </c>
      <c r="C91" s="105" t="s">
        <v>125</v>
      </c>
    </row>
    <row r="92" spans="2:3" ht="15.75" thickBot="1" x14ac:dyDescent="0.3">
      <c r="B92" s="104" t="s">
        <v>2879</v>
      </c>
      <c r="C92" s="105" t="s">
        <v>125</v>
      </c>
    </row>
    <row r="93" spans="2:3" ht="15.75" thickBot="1" x14ac:dyDescent="0.3">
      <c r="B93" s="106" t="s">
        <v>657</v>
      </c>
      <c r="C93" s="107" t="s">
        <v>672</v>
      </c>
    </row>
    <row r="94" spans="2:3" ht="15.75" thickBot="1" x14ac:dyDescent="0.3">
      <c r="B94" s="106" t="s">
        <v>904</v>
      </c>
      <c r="C94" s="107" t="s">
        <v>996</v>
      </c>
    </row>
    <row r="95" spans="2:3" ht="15.75" thickBot="1" x14ac:dyDescent="0.3">
      <c r="B95" s="106" t="s">
        <v>1045</v>
      </c>
      <c r="C95" s="107" t="s">
        <v>855</v>
      </c>
    </row>
    <row r="96" spans="2:3" ht="15.75" thickBot="1" x14ac:dyDescent="0.3">
      <c r="B96" s="106" t="s">
        <v>1260</v>
      </c>
      <c r="C96" s="107" t="s">
        <v>857</v>
      </c>
    </row>
    <row r="97" spans="2:3" ht="15.75" thickBot="1" x14ac:dyDescent="0.3">
      <c r="B97" s="106" t="s">
        <v>2793</v>
      </c>
      <c r="C97" s="107" t="s">
        <v>7032</v>
      </c>
    </row>
    <row r="98" spans="2:3" ht="15.75" thickBot="1" x14ac:dyDescent="0.3">
      <c r="B98" s="106" t="s">
        <v>2778</v>
      </c>
      <c r="C98" s="107" t="s">
        <v>1213</v>
      </c>
    </row>
    <row r="99" spans="2:3" ht="15.75" thickBot="1" x14ac:dyDescent="0.3">
      <c r="B99" s="106" t="s">
        <v>1519</v>
      </c>
      <c r="C99" s="107" t="s">
        <v>855</v>
      </c>
    </row>
    <row r="100" spans="2:3" ht="15.75" thickBot="1" x14ac:dyDescent="0.3">
      <c r="B100" s="106" t="s">
        <v>2781</v>
      </c>
      <c r="C100" s="107" t="s">
        <v>7033</v>
      </c>
    </row>
    <row r="101" spans="2:3" ht="15.75" thickBot="1" x14ac:dyDescent="0.3">
      <c r="B101" s="106" t="s">
        <v>2782</v>
      </c>
      <c r="C101" s="107" t="s">
        <v>7035</v>
      </c>
    </row>
    <row r="102" spans="2:3" ht="15.75" thickBot="1" x14ac:dyDescent="0.3">
      <c r="B102" s="104" t="s">
        <v>2916</v>
      </c>
      <c r="C102" s="105" t="s">
        <v>8477</v>
      </c>
    </row>
  </sheetData>
  <sortState ref="A93:XFD102">
    <sortCondition ref="B93:B102"/>
  </sortState>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Diagnóstico 2018</vt:lpstr>
      <vt:lpstr>Por órgão Após Respostas</vt:lpstr>
      <vt:lpstr>Não Responderam Ofício do TCE</vt:lpstr>
      <vt:lpstr>'Diagnóstico 2018'!Titulos_de_impressao</vt:lpstr>
      <vt:lpstr>'Por órgão Após Respostas'!Titulos_de_impressao</vt:lpstr>
    </vt:vector>
  </TitlesOfParts>
  <Company>TCE-PE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1642</dc:creator>
  <cp:lastModifiedBy>1642</cp:lastModifiedBy>
  <cp:lastPrinted>2019-02-06T17:49:28Z</cp:lastPrinted>
  <dcterms:created xsi:type="dcterms:W3CDTF">2017-05-10T12:18:50Z</dcterms:created>
  <dcterms:modified xsi:type="dcterms:W3CDTF">2019-02-13T14:43:54Z</dcterms:modified>
</cp:coreProperties>
</file>