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EFISCO" sheetId="1" r:id="rId4"/>
    <sheet state="hidden" name="Anexo I RGF C AP Validação SEFA" sheetId="2" r:id="rId5"/>
    <sheet state="visible" name="Anexo I RGF C AP" sheetId="3" r:id="rId6"/>
    <sheet state="hidden" name="Conciliação DCF X EFISCO c AP" sheetId="4" r:id="rId7"/>
    <sheet state="hidden" name="Temporário - Licença Prêmio Pec" sheetId="5" r:id="rId8"/>
    <sheet state="hidden" name="Ajuste com SEFAZ" sheetId="6" r:id="rId9"/>
    <sheet state="hidden" name="Anexo V RGF" sheetId="7" r:id="rId10"/>
    <sheet state="hidden" name="Entrada de dados Anexos V e VI" sheetId="8" r:id="rId11"/>
    <sheet state="hidden" name="Anexo VI RGF" sheetId="9" r:id="rId12"/>
    <sheet state="hidden" name="08 2019" sheetId="10" r:id="rId13"/>
    <sheet state="hidden" name="11 2019" sheetId="11" r:id="rId14"/>
    <sheet state="hidden" name="10 2019" sheetId="12" r:id="rId15"/>
    <sheet state="hidden" name="reembolso de convênios 2019" sheetId="13" r:id="rId16"/>
    <sheet state="hidden" name="Despesa Pessoal SEFAZ" sheetId="14" r:id="rId17"/>
    <sheet state="hidden" name="composição despesa com pessoal " sheetId="15" r:id="rId18"/>
    <sheet state="hidden" name="resumo folha por evento" sheetId="16" r:id="rId19"/>
    <sheet state="hidden" name="contas contábeis" sheetId="17" r:id="rId20"/>
    <sheet state="hidden" name="contas contábeis pessoal" sheetId="18" r:id="rId21"/>
  </sheets>
  <externalReferences>
    <externalReference r:id="rId22"/>
    <externalReference r:id="rId23"/>
  </externalReferences>
  <definedNames>
    <definedName hidden="1" localSheetId="3" name="_xlnm._FilterDatabase">'Conciliação DCF X EFISCO c AP'!$A$76:$D$85</definedName>
    <definedName hidden="1" localSheetId="15" name="_xlnm._FilterDatabase">'resumo folha por evento'!$A$2:$D$76</definedName>
  </definedNames>
  <calcPr/>
  <extLst>
    <ext uri="GoogleSheetsCustomDataVersion1">
      <go:sheetsCustomData xmlns:go="http://customooxmlschemas.google.com/" r:id="rId24" roundtripDataSignature="AMtx7mg1OyuGN6MO32wVryPVtcy05762o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14">
      <text>
        <t xml:space="preserve">======
ID#AAAAHDzfK3Q
    (2020-10-08 00:48:01)
Ofício AGU 0100/2020 - PETCE 22.520/2020</t>
      </text>
    </comment>
    <comment authorId="0" ref="A5">
      <text>
        <t xml:space="preserve">======
ID#AAAAHDzfK24
    (2020-10-08 00:48:01)
Consultar vencimentos relatório Ressarcimento de servidores cedidos (GEFP)</t>
      </text>
    </comment>
    <comment authorId="0" ref="A32">
      <text>
        <t xml:space="preserve">======
ID#AAAAHDzfK2w
    (2020-10-08 00:48:01)
Inserir total coluna GRATIF. DE 1/3
DE FÉRIAS (Relatório Ressarcimento de servidores cedidos-GEFP)</t>
      </text>
    </comment>
    <comment authorId="0" ref="A4">
      <text>
        <t xml:space="preserve">======
ID#AAAAHDzfK2s
    (2020-10-08 00:48:01)
Consultar Resumo contábil Folha TCE (Deduções)</t>
      </text>
    </comment>
    <comment authorId="0" ref="L14">
      <text>
        <t xml:space="preserve">======
ID#AAAAHDzfK2o
    (2020-10-08 00:48:01)
Ofício AGU 088/2020 - PETCE 20.347/2020</t>
      </text>
    </comment>
    <comment authorId="0" ref="I14">
      <text>
        <t xml:space="preserve">======
ID#AAAAHDzfK2g
    (2020-10-08 00:48:01)
Ofício AGU 166/19 (PETCE 59106/19)</t>
      </text>
    </comment>
    <comment authorId="0" ref="A49">
      <text>
        <t xml:space="preserve">======
ID#AAAAHDzfK2E
    (2020-10-08 00:48:01)
Consultar relatório Sistema RGF (Vencimentos, Vant. e Outras Despesas Variáveis)</t>
      </text>
    </comment>
    <comment authorId="0" ref="A47">
      <text>
        <t xml:space="preserve">======
ID#AAAAHDzfK2A
    (2020-10-08 00:48:01)
Consultar CI GEAC FUNAFIN (Valor Folha Bruta Pensionistas)</t>
      </text>
    </comment>
    <comment authorId="0" ref="A11">
      <text>
        <t xml:space="preserve">======
ID#AAAAHDzfK10
    (2020-10-08 00:48:01)
Consultar CI GESG</t>
      </text>
    </comment>
    <comment authorId="0" ref="E14">
      <text>
        <t xml:space="preserve">======
ID#AAAAHDzfK1k
    (2020-10-08 00:48:01)
Ofício AGU 166/19 (PETCE 59106/19)</t>
      </text>
    </comment>
    <comment authorId="0" ref="N13">
      <text>
        <t xml:space="preserve">======
ID#AAAAHDzfK1U
    (2020-10-08 00:48:01)
(As despesa de DEA liquidadas no exercício de apresentação da RGF (ano 2019) 
só serão deduzidas no relatório no 3º Quadrimestre)</t>
      </text>
    </comment>
    <comment authorId="0" ref="A14">
      <text>
        <t xml:space="preserve">======
ID#AAAAHDzfK1I
    (2020-10-08 00:48:01)
Consultar Ofício recebido órgãos de origens. NEs 153/20 e 154/20</t>
      </text>
    </comment>
    <comment authorId="0" ref="D14">
      <text>
        <t xml:space="preserve">======
ID#AAAAHDzfK0w
    (2020-10-08 00:48:01)
Ofício AGU 166/19 (PETCE 59106/19)</t>
      </text>
    </comment>
    <comment authorId="0" ref="A43">
      <text>
        <t xml:space="preserve">======
ID#AAAAHDzfK0g
    (2020-10-08 00:48:01)
Consultar relatório Sistema RGF (Vencimentos, Vant. e Outras Despesas Variáveis)</t>
      </text>
    </comment>
    <comment authorId="0" ref="A40">
      <text>
        <t xml:space="preserve">======
ID#AAAAHDzfK0Y
    (2020-10-08 00:48:01)
Consultar Resumo Contábil Folha FUNAFIN (Vencimento Bruto)
Conta EFISCO 899990201</t>
      </text>
    </comment>
    <comment authorId="0" ref="A23">
      <text>
        <t xml:space="preserve">======
ID#AAAAHDzfK0Q
    (2020-10-08 00:48:01)
Consultar Planilha CI GEFP (Contribuição Patronal (Gov PE/PCR)</t>
      </text>
    </comment>
    <comment authorId="0" ref="A6">
      <text>
        <t xml:space="preserve">======
ID#AAAAHDzfK0M
    (2020-10-08 00:48:01)
Consultar vencimentos relatório Ressarcimento de servidores cedidos (GEFP)</t>
      </text>
    </comment>
    <comment authorId="0" ref="A31">
      <text>
        <t xml:space="preserve">======
ID#AAAAHDzfK0I
    (2020-10-08 00:48:01)
Inserir valor do evento 681 (Resumo Folha de Pagamento)</t>
      </text>
    </comment>
    <comment authorId="0" ref="A10">
      <text>
        <t xml:space="preserve">======
ID#AAAAHDzfKzs
    (2020-10-08 00:48:01)
Consultar Resumo contábil Folha TCE (Vencimentos) - 13º  - Resumo Geral</t>
      </text>
    </comment>
    <comment authorId="0" ref="E11">
      <text>
        <t xml:space="preserve">======
ID#AAAAHDzfKzA
    (2020-10-08 00:48:01)
CI GESG 59366/19</t>
      </text>
    </comment>
    <comment authorId="0" ref="A16">
      <text>
        <t xml:space="preserve">======
ID#AAAAHDzfKy4
    (2020-10-08 00:48:01)
Consultar relatório Sistema RGF (Vencimentos, Vant. e Outras Despesas Variáveis)</t>
      </text>
    </comment>
    <comment authorId="0" ref="I11">
      <text>
        <t xml:space="preserve">======
ID#AAAAHDzfKys
    (2020-10-08 00:48:01)
CI GESG 59366/19</t>
      </text>
    </comment>
    <comment authorId="0" ref="A29">
      <text>
        <t xml:space="preserve">======
ID#AAAAHDzfKyo
    (2020-10-08 00:48:01)
Consultar Resumo contábil Folha TCE (Vencimentos)</t>
      </text>
    </comment>
    <comment authorId="0" ref="A13">
      <text>
        <t xml:space="preserve">======
ID#AAAAHDzfKyk
    (2020-10-08 00:48:01)
Consultar Resumo contábil Folha TCE (Vencimentos). Atenção o DEA só deve ser deduzido no relatório do 3º quadrimestre.</t>
      </text>
    </comment>
    <comment authorId="0" ref="J11">
      <text>
        <t xml:space="preserve">======
ID#AAAAHDzfKyU
    (2020-10-08 00:48:01)
CI GESG 14604/20</t>
      </text>
    </comment>
    <comment authorId="0" ref="H14">
      <text>
        <t xml:space="preserve">======
ID#AAAAHDzfKyM
    (2020-10-08 00:48:01)
Ofício AGU 166/19 (PETCE 59106/19)</t>
      </text>
    </comment>
    <comment authorId="0" ref="A20">
      <text>
        <t xml:space="preserve">======
ID#AAAAHDzfKyI
    (2020-10-08 00:48:01)
Consultar CI GEAC (Funafin Patronal - empenhar)</t>
      </text>
    </comment>
    <comment authorId="0" ref="E63">
      <text>
        <t xml:space="preserve">======
ID#AAAAHDzfKxo
    (2020-10-08 00:48:01)
Conforme Acórdão 42/2020 não foram consideradas as despesas  com um terço de férias constitucional (jan a abr/20)</t>
      </text>
    </comment>
    <comment authorId="0" ref="A12">
      <text>
        <t xml:space="preserve">======
ID#AAAAHDzfKxY
    (2020-10-08 00:48:01)
Consultar Resumo contábil Folha TCE (Vencimentos)</t>
      </text>
    </comment>
    <comment authorId="0" ref="A30">
      <text>
        <t xml:space="preserve">======
ID#AAAAHDzfKxM
    (2020-10-08 00:48:01)
Consultar Resumo contábil Folha TCE (Vencimentos)</t>
      </text>
    </comment>
    <comment authorId="0" ref="A25">
      <text>
        <t xml:space="preserve">======
ID#AAAAHDzfKw0
    (2020-10-08 00:48:01)
Consultar relatório Sistema RGF (Obrigações Patronais)</t>
      </text>
    </comment>
    <comment authorId="0" ref="M11">
      <text>
        <t xml:space="preserve">======
ID#AAAAHDzfKws
    (2020-10-08 00:48:01)
CI GESG 21321/20</t>
      </text>
    </comment>
    <comment authorId="0" ref="A41">
      <text>
        <t xml:space="preserve">======
ID#AAAAHDzfKwY
    (2020-10-08 00:48:01)
Consultar Resumo Contábil Folha FUNAFIN (Vencimento Bruto)
Conta EFISCO 899990201</t>
      </text>
    </comment>
    <comment authorId="0" ref="A21">
      <text>
        <t xml:space="preserve">======
ID#AAAAHDzfKwU
    (2020-10-08 00:48:01)
Consultar CI GEAC (INSS Patronal Comissionados)</t>
      </text>
    </comment>
    <comment authorId="0" ref="A8">
      <text>
        <t xml:space="preserve">======
ID#AAAAHDzfKwQ
    (2020-10-08 00:48:01)
Consultar Resumo contábil Folha TCE (Vencimentos)</t>
      </text>
    </comment>
    <comment authorId="0" ref="L11">
      <text>
        <t xml:space="preserve">======
ID#AAAAHDzfKwM
    (2020-10-08 00:48:01)
CI GESG 14604/20</t>
      </text>
    </comment>
    <comment authorId="0" ref="K11">
      <text>
        <t xml:space="preserve">======
ID#AAAAHDzfKvw
    (2020-10-08 00:48:01)
CI GESG 14604/20</t>
      </text>
    </comment>
    <comment authorId="0" ref="A3">
      <text>
        <t xml:space="preserve">======
ID#AAAAHDzfKvg
    (2020-10-08 00:48:01)
Consultar Resumo contábil Folha TCE (Vencimentos) - Resumo Geral</t>
      </text>
    </comment>
    <comment authorId="0" ref="A9">
      <text>
        <t xml:space="preserve">======
ID#AAAAHDzfKvc
    (2020-10-08 00:48:01)
Consultar Resumo contábil Folha TCE (Vencimentos)</t>
      </text>
    </comment>
  </commentList>
  <extLst>
    <ext uri="GoogleSheetsCustomDataVersion1">
      <go:sheetsCustomData xmlns:go="http://customooxmlschemas.google.com/" r:id="rId1" roundtripDataSignature="AMtx7mhHNBvkT9AofBMKDSrFwEFu4C1Am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5">
      <text>
        <t xml:space="preserve">======
ID#AAAAHDzfK3Y
    (2020-10-08 00:48:01)
Consultar vencimentos relatório Ressarcimento de servidores cedidos (GEFP)</t>
      </text>
    </comment>
    <comment authorId="0" ref="A4">
      <text>
        <t xml:space="preserve">======
ID#AAAAHDzfK3U
    (2020-10-08 00:48:01)
Consultar Resumo contábil Folha TCE (Vencimentos)</t>
      </text>
    </comment>
    <comment authorId="0" ref="A26">
      <text>
        <t xml:space="preserve">======
ID#AAAAHDzfK3M
    (2020-10-08 00:48:01)
Consultar CI GEFP (Obrigações Patronais (Gov PE/PCR)</t>
      </text>
    </comment>
    <comment authorId="0" ref="A43">
      <text>
        <t xml:space="preserve">======
ID#AAAAHDzfK2U
    (2020-10-08 00:48:01)
Consultar Resumo Contábil Folha FUNAFIN (Vencimento Bruto)
Conta EFISCO 899990201</t>
      </text>
    </comment>
    <comment authorId="0" ref="A22">
      <text>
        <t xml:space="preserve">======
ID#AAAAHDzfK1o
    (2020-10-08 00:48:01)
Consultar CI GEAC</t>
      </text>
    </comment>
    <comment authorId="0" ref="A35">
      <text>
        <t xml:space="preserve">======
ID#AAAAHDzfK1Y
    (2020-10-08 00:48:01)
Inserir total coluna GRATIF. DE 1/3
DE FÉRIAS (Relatório Ressarcimento de servidores cedidos-GEFP)</t>
      </text>
    </comment>
    <comment authorId="0" ref="A52">
      <text>
        <t xml:space="preserve">======
ID#AAAAHDzfK1Q
    (2020-10-08 00:48:01)
Consultar relatório Sistema RGF (Vencimentos, Vant. e Outras Despesas Variáveis)</t>
      </text>
    </comment>
    <comment authorId="0" ref="A13">
      <text>
        <t xml:space="preserve">======
ID#AAAAHDzfK1M
    (2020-10-08 00:48:01)
Conta não utilizada pelo TCE.</t>
      </text>
    </comment>
    <comment authorId="0" ref="A5">
      <text>
        <t xml:space="preserve">======
ID#AAAAHDzfK0s
    (2020-10-08 00:48:01)
Consultar Resumo contábil Folha TCE (Vencimentos)</t>
      </text>
    </comment>
    <comment authorId="0" ref="A23">
      <text>
        <t xml:space="preserve">======
ID#AAAAHDzfK0o
    (2020-10-08 00:48:01)
Consultar CI GEAC</t>
      </text>
    </comment>
    <comment authorId="0" ref="A32">
      <text>
        <t xml:space="preserve">======
ID#AAAAHDzfK0k
    (2020-10-08 00:48:01)
Consultar Resumo contábil Folha TCE (Vencimentos)</t>
      </text>
    </comment>
    <comment authorId="0" ref="A46">
      <text>
        <t xml:space="preserve">======
ID#AAAAHDzfK0c
    (2020-10-08 00:48:01)
Consultar relatório Sistema RGF (Vencimentos, Vant. e Outras Despesas Variáveis)</t>
      </text>
    </comment>
    <comment authorId="0" ref="A12">
      <text>
        <t xml:space="preserve">======
ID#AAAAHDzfK0U
    (2020-10-08 00:48:01)
Consultar CI GEFP (Obrigações Patronais (Gov PE/PCR)
Conta INATIVADA a partir de janeiro/2019.</t>
      </text>
    </comment>
    <comment authorId="0" ref="A11">
      <text>
        <t xml:space="preserve">======
ID#AAAAHDzfK0A
    (2020-10-08 00:48:01)
Consultar Resumo contábil Folha TCE (Deduções)</t>
      </text>
    </comment>
    <comment authorId="0" ref="A8">
      <text>
        <t xml:space="preserve">======
ID#AAAAHDzfKz0
    (2020-10-08 00:48:01)
Consultar Resumo contábil Folha TCE (Vencimentos)</t>
      </text>
    </comment>
    <comment authorId="0" ref="N9">
      <text>
        <t xml:space="preserve">======
ID#AAAAHDzfKzw
    (2020-10-08 00:48:01)
(As despesa de DEA liquidadas no exercício de apresentação da RGF (ano 2019) 
só serão deduzidas no relatório no 3º Quadrimestre)</t>
      </text>
    </comment>
    <comment authorId="0" ref="A10">
      <text>
        <t xml:space="preserve">======
ID#AAAAHDzfKzI
    (2020-10-08 00:48:01)
Consultar Ofício recebido órgãos de origens.</t>
      </text>
    </comment>
    <comment authorId="0" ref="A14">
      <text>
        <t xml:space="preserve">======
ID#AAAAHDzfKyw
    (2020-10-08 00:48:01)
Inserir total vencimentos relatório Ressarcimento de servidores cedidos (GEFP)</t>
      </text>
    </comment>
    <comment authorId="0" ref="A44">
      <text>
        <t xml:space="preserve">======
ID#AAAAHDzfKyY
    (2020-10-08 00:48:01)
Consultar Resumo Contábil Folha FUNAFIN (Vencimento Bruto)
Conta EFISCO 899990201</t>
      </text>
    </comment>
    <comment authorId="0" ref="A16">
      <text>
        <t xml:space="preserve">======
ID#AAAAHDzfKyA
    (2020-10-08 00:48:01)
Excluir DEA se não for do período de apuração.</t>
      </text>
    </comment>
    <comment authorId="0" ref="A28">
      <text>
        <t xml:space="preserve">======
ID#AAAAHDzfKx8
    (2020-10-08 00:48:01)
Consultar relatório Sistema RGF (Obrigações Patronais)</t>
      </text>
    </comment>
    <comment authorId="0" ref="A34">
      <text>
        <t xml:space="preserve">======
ID#AAAAHDzfKxw
    (2020-10-08 00:48:01)
Inserir valor do evento 681 (Resumo Folha de Pagamento)</t>
      </text>
    </comment>
    <comment authorId="0" ref="A18">
      <text>
        <t xml:space="preserve">======
ID#AAAAHDzfKxk
    (2020-10-08 00:48:01)
Consultar relatório Sistema RGF (Vencimentos, Vant. e Outras Despesas Variáveis)</t>
      </text>
    </comment>
    <comment authorId="0" ref="A50">
      <text>
        <t xml:space="preserve">======
ID#AAAAHDzfKxc
    (2020-10-08 00:48:01)
Consultar Resumo Contábil Folha FUNAFIN (Vencimento Bruto)
Conta EFISCO 899990201</t>
      </text>
    </comment>
    <comment authorId="0" ref="A33">
      <text>
        <t xml:space="preserve">======
ID#AAAAHDzfKw8
    (2020-10-08 00:48:01)
Consultar Resumo contábil Folha TCE (Vencimentos)</t>
      </text>
    </comment>
    <comment authorId="0" ref="A9">
      <text>
        <t xml:space="preserve">======
ID#AAAAHDzfKwk
    (2020-10-08 00:48:01)
Consultar Resumo contábil Folha TCE (Vencimentos). Atenção o DEA só deve ser deduzido no relatório do 3º quadrimestre.</t>
      </text>
    </comment>
    <comment authorId="0" ref="A3">
      <text>
        <t xml:space="preserve">======
ID#AAAAHDzfKwc
    (2020-10-08 00:48:01)
Consultar Resumo contábil Folha TCE (Vencimentos)</t>
      </text>
    </comment>
    <comment authorId="0" ref="A7">
      <text>
        <t xml:space="preserve">======
ID#AAAAHDzfKwI
    (2020-10-08 00:48:01)
Consultar CI GESG</t>
      </text>
    </comment>
    <comment authorId="0" ref="A25">
      <text>
        <t xml:space="preserve">======
ID#AAAAHDzfKwA
    (2020-10-08 00:48:01)
Consultar CI GEFP (Obrigações Patronais (Gov PE/PCR)
Conta INATIVADA a partir de janeiro/2019.</t>
      </text>
    </comment>
    <comment authorId="0" ref="A6">
      <text>
        <t xml:space="preserve">======
ID#AAAAHDzfKv4
    (2020-10-08 00:48:01)
Consultar Resumo contábil Folha TCE (Vencimentos) - 13º</t>
      </text>
    </comment>
  </commentList>
  <extLst>
    <ext uri="GoogleSheetsCustomDataVersion1">
      <go:sheetsCustomData xmlns:go="http://customooxmlschemas.google.com/" r:id="rId1" roundtripDataSignature="AMtx7mi0kWX3PKkIxlJ63EmJ3aKVld5puw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5">
      <text>
        <t xml:space="preserve">======
ID#AAAAHDzfK3E
    (2020-10-08 00:48:01)
Consultar Resumo contábil Folha TCE (Vencimentos)</t>
      </text>
    </comment>
    <comment authorId="0" ref="A14">
      <text>
        <t xml:space="preserve">======
ID#AAAAHDzfK3A
    (2020-10-08 00:48:01)
Consultar vencimentos relatório Ressarcimento de servidores cedidos (GEFP)</t>
      </text>
    </comment>
    <comment authorId="0" ref="A26">
      <text>
        <t xml:space="preserve">======
ID#AAAAHDzfK28
    (2020-10-08 00:48:01)
Consultar Planilha CI GEFP (Contribuição Patronal (Gov PE/PCR)</t>
      </text>
    </comment>
    <comment authorId="0" ref="A22">
      <text>
        <t xml:space="preserve">======
ID#AAAAHDzfK20
    (2020-10-08 00:48:01)
Consultar CI GEAC (Funafin Patronal - empenhar)</t>
      </text>
    </comment>
    <comment authorId="0" ref="A46">
      <text>
        <t xml:space="preserve">======
ID#AAAAHDzfK2c
    (2020-10-08 00:48:01)
Consultar relatório Sistema RGF (Vencimentos, Vant. e Outras Despesas Variáveis)</t>
      </text>
    </comment>
    <comment authorId="0" ref="M10">
      <text>
        <t xml:space="preserve">======
ID#AAAAHDzfK2Y
    (2020-10-08 00:48:01)
Ofício AGU 166/19 (PETCE 59106/19)</t>
      </text>
    </comment>
    <comment authorId="0" ref="A28">
      <text>
        <t xml:space="preserve">======
ID#AAAAHDzfK2Q
    (2020-10-08 00:48:01)
Consultar relatório Sistema RGF (Obrigações Patronais)</t>
      </text>
    </comment>
    <comment authorId="0" ref="A43">
      <text>
        <t xml:space="preserve">======
ID#AAAAHDzfK2M
    (2020-10-08 00:48:01)
Consultar Resumo Contábil Folha FUNAFIN (Vencimento Bruto)
Conta EFISCO 899990201</t>
      </text>
    </comment>
    <comment authorId="0" ref="A32">
      <text>
        <t xml:space="preserve">======
ID#AAAAHDzfK1w
    (2020-10-08 00:48:01)
Consultar Resumo contábil Folha TCE (Vencimentos)</t>
      </text>
    </comment>
    <comment authorId="0" ref="A11">
      <text>
        <t xml:space="preserve">======
ID#AAAAHDzfK1s
    (2020-10-08 00:48:01)
Consultar Resumo contábil Folha TCE (Deduções)</t>
      </text>
    </comment>
    <comment authorId="0" ref="A15">
      <text>
        <t xml:space="preserve">======
ID#AAAAHDzfK1A
    (2020-10-08 00:48:01)
Consultar vencimentos relatório Ressarcimento de servidores cedidos (GEFP)</t>
      </text>
    </comment>
    <comment authorId="0" ref="N9">
      <text>
        <t xml:space="preserve">======
ID#AAAAHDzfK04
    (2020-10-08 00:48:01)
(As despesa de DEA liquidadas no exercício de apresentação da RGF (ano 2019) 
só serão deduzidas no relatório no 3º Quadrimestre)</t>
      </text>
    </comment>
    <comment authorId="0" ref="A44">
      <text>
        <t xml:space="preserve">======
ID#AAAAHDzfK00
    (2020-10-08 00:48:01)
Consultar Resumo Contábil Folha FUNAFIN (Vencimento Bruto)
Conta EFISCO 899990201</t>
      </text>
    </comment>
    <comment authorId="0" ref="A18">
      <text>
        <t xml:space="preserve">======
ID#AAAAHDzfK0E
    (2020-10-08 00:48:01)
Consultar relatório Sistema RGF (Vencimentos, Vant. e Outras Despesas Variáveis)</t>
      </text>
    </comment>
    <comment authorId="0" ref="A25">
      <text>
        <t xml:space="preserve">======
ID#AAAAHDzfKz8
    (2020-10-08 00:48:01)
Consultar CI GEFP (Obrigações Patronais (Gov PE/PCR)
Conta INATIVADA a partir de janeiro/2019.</t>
      </text>
    </comment>
    <comment authorId="0" ref="A16">
      <text>
        <t xml:space="preserve">======
ID#AAAAHDzfKz4
    (2020-10-08 00:48:01)
Excluir DEA se não for do período de apuração.</t>
      </text>
    </comment>
    <comment authorId="0" ref="A10">
      <text>
        <t xml:space="preserve">======
ID#AAAAHDzfKzo
    (2020-10-08 00:48:01)
Consultar Ofício recebido órgãos de origens.</t>
      </text>
    </comment>
    <comment authorId="0" ref="A34">
      <text>
        <t xml:space="preserve">======
ID#AAAAHDzfKzU
    (2020-10-08 00:48:01)
Inserir valor do evento 681 (Resumo Folha de Pagamento)</t>
      </text>
    </comment>
    <comment authorId="0" ref="A7">
      <text>
        <t xml:space="preserve">======
ID#AAAAHDzfKzQ
    (2020-10-08 00:48:01)
Consultar CI GESG</t>
      </text>
    </comment>
    <comment authorId="0" ref="A8">
      <text>
        <t xml:space="preserve">======
ID#AAAAHDzfKy8
    (2020-10-08 00:48:01)
Consultar Resumo contábil Folha TCE (Vencimentos)</t>
      </text>
    </comment>
    <comment authorId="0" ref="A9">
      <text>
        <t xml:space="preserve">======
ID#AAAAHDzfKyc
    (2020-10-08 00:48:01)
Consultar Resumo contábil Folha TCE (Vencimentos). Atenção o DEA só deve ser deduzido no relatório do 3º quadrimestre.</t>
      </text>
    </comment>
    <comment authorId="0" ref="A6">
      <text>
        <t xml:space="preserve">======
ID#AAAAHDzfKyE
    (2020-10-08 00:48:01)
Consultar Resumo contábil Folha TCE (Vencimentos) - 13º  - Resumo Geral</t>
      </text>
    </comment>
    <comment authorId="0" ref="A52">
      <text>
        <t xml:space="preserve">======
ID#AAAAHDzfKx0
    (2020-10-08 00:48:01)
Consultar relatório Sistema RGF (Vencimentos, Vant. e Outras Despesas Variáveis)</t>
      </text>
    </comment>
    <comment authorId="0" ref="A23">
      <text>
        <t xml:space="preserve">======
ID#AAAAHDzfKxs
    (2020-10-08 00:48:01)
Consultar CI GEAC (INSS Patronal Comissionados)</t>
      </text>
    </comment>
    <comment authorId="0" ref="A3">
      <text>
        <t xml:space="preserve">======
ID#AAAAHDzfKxQ
    (2020-10-08 00:48:01)
Consultar Resumo contábil Folha TCE (Vencimentos) - Resumo Geral</t>
      </text>
    </comment>
    <comment authorId="0" ref="A35">
      <text>
        <t xml:space="preserve">======
ID#AAAAHDzfKw4
    (2020-10-08 00:48:01)
Inserir total coluna GRATIF. DE 1/3
DE FÉRIAS (Relatório Ressarcimento de servidores cedidos-GEFP)</t>
      </text>
    </comment>
    <comment authorId="0" ref="A12">
      <text>
        <t xml:space="preserve">======
ID#AAAAHDzfKww
    (2020-10-08 00:48:01)
Consultar CI GEFP (Obrigações Patronais (Gov PE/PCR)
Conta INATIVADA a partir de janeiro/2019.</t>
      </text>
    </comment>
    <comment authorId="0" ref="A4">
      <text>
        <t xml:space="preserve">======
ID#AAAAHDzfKwE
    (2020-10-08 00:48:01)
Consultar Resumo contábil Folha TCE (Vencimentos)</t>
      </text>
    </comment>
    <comment authorId="0" ref="A50">
      <text>
        <t xml:space="preserve">======
ID#AAAAHDzfKv0
    (2020-10-08 00:48:01)
Consultar CI GEAC FUNAFIN (Valor Folha Bruta Pensionistas)</t>
      </text>
    </comment>
    <comment authorId="0" ref="A13">
      <text>
        <t xml:space="preserve">======
ID#AAAAHDzfKvo
    (2020-10-08 00:48:01)
Conta não utilizada pelo TCE.</t>
      </text>
    </comment>
    <comment authorId="0" ref="A33">
      <text>
        <t xml:space="preserve">======
ID#AAAAHDzfKvk
    (2020-10-08 00:48:01)
Consultar Resumo contábil Folha TCE (Vencimentos)</t>
      </text>
    </comment>
  </commentList>
  <extLst>
    <ext uri="GoogleSheetsCustomDataVersion1">
      <go:sheetsCustomData xmlns:go="http://customooxmlschemas.google.com/" r:id="rId1" roundtripDataSignature="AMtx7mjOjka5QPGJcvHRN3Lr2KY8jr1nUQ=="/>
    </ext>
  </extL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1">
      <text>
        <t xml:space="preserve">======
ID#AAAAHDzfK3c
    (2020-10-08 00:48:01)
Consultar Resumo contábil Folha TCE (Deduções)</t>
      </text>
    </comment>
    <comment authorId="0" ref="A5">
      <text>
        <t xml:space="preserve">======
ID#AAAAHDzfK3I
    (2020-10-08 00:48:01)
Consultar Resumo contábil Folha TCE (Vencimentos)</t>
      </text>
    </comment>
    <comment authorId="0" ref="A7">
      <text>
        <t xml:space="preserve">======
ID#AAAAHDzfK2k
    (2020-10-08 00:48:01)
Consultar CI GESG</t>
      </text>
    </comment>
    <comment authorId="0" ref="A35">
      <text>
        <t xml:space="preserve">======
ID#AAAAHDzfK2I
    (2020-10-08 00:48:01)
Inserir total coluna GRATIF. DE 1/3
DE FÉRIAS (Relatório Ressarcimento de servidores cedidos-GEFP)</t>
      </text>
    </comment>
    <comment authorId="0" ref="A50">
      <text>
        <t xml:space="preserve">======
ID#AAAAHDzfK18
    (2020-10-08 00:48:01)
Consultar CI GEAC FUNAFIN (Valor Folha Bruta Pensionistas)</t>
      </text>
    </comment>
    <comment authorId="0" ref="A15">
      <text>
        <t xml:space="preserve">======
ID#AAAAHDzfK14
    (2020-10-08 00:48:01)
Consultar vencimentos relatório Ressarcimento de servidores cedidos (GEFP)</t>
      </text>
    </comment>
    <comment authorId="0" ref="A6">
      <text>
        <t xml:space="preserve">======
ID#AAAAHDzfK1c
    (2020-10-08 00:48:01)
Consultar Resumo contábil Folha TCE (Vencimentos) - 13º  - Resumo Geral</t>
      </text>
    </comment>
    <comment authorId="0" ref="A32">
      <text>
        <t xml:space="preserve">======
ID#AAAAHDzfK1g
    (2020-10-08 00:48:01)
Consultar Resumo contábil Folha TCE (Vencimentos)</t>
      </text>
    </comment>
    <comment authorId="0" ref="A28">
      <text>
        <t xml:space="preserve">======
ID#AAAAHDzfK1E
    (2020-10-08 00:48:01)
Consultar relatório Sistema RGF (Obrigações Patronais)</t>
      </text>
    </comment>
    <comment authorId="0" ref="A14">
      <text>
        <t xml:space="preserve">======
ID#AAAAHDzfK08
    (2020-10-08 00:48:01)
Consultar vencimentos relatório Ressarcimento de servidores cedidos (GEFP)</t>
      </text>
    </comment>
    <comment authorId="0" ref="A44">
      <text>
        <t xml:space="preserve">======
ID#AAAAHDzfKzk
    (2020-10-08 00:48:01)
Consultar Resumo Contábil Folha FUNAFIN (Vencimento Bruto)
Conta EFISCO 899990201</t>
      </text>
    </comment>
    <comment authorId="0" ref="A46">
      <text>
        <t xml:space="preserve">======
ID#AAAAHDzfKzg
    (2020-10-08 00:48:01)
Consultar relatório Sistema RGF (Vencimentos, Vant. e Outras Despesas Variáveis)</t>
      </text>
    </comment>
    <comment authorId="0" ref="A3">
      <text>
        <t xml:space="preserve">======
ID#AAAAHDzfKzc
    (2020-10-08 00:48:01)
Consultar Resumo contábil Folha TCE (Vencimentos) - Resumo Geral</t>
      </text>
    </comment>
    <comment authorId="0" ref="N9">
      <text>
        <t xml:space="preserve">======
ID#AAAAHDzfKzY
    (2020-10-08 00:48:01)
(As despesa de DEA liquidadas no exercício de apresentação da RGF (ano 2019) 
só serão deduzidas no relatório no 3º Quadrimestre)</t>
      </text>
    </comment>
    <comment authorId="0" ref="A18">
      <text>
        <t xml:space="preserve">======
ID#AAAAHDzfKzM
    (2020-10-08 00:48:01)
Consultar relatório Sistema RGF (Vencimentos, Vant. e Outras Despesas Variáveis)</t>
      </text>
    </comment>
    <comment authorId="0" ref="A33">
      <text>
        <t xml:space="preserve">======
ID#AAAAHDzfKzE
    (2020-10-08 00:48:01)
Consultar Resumo contábil Folha TCE (Vencimentos)</t>
      </text>
    </comment>
    <comment authorId="0" ref="A8">
      <text>
        <t xml:space="preserve">======
ID#AAAAHDzfKy0
    (2020-10-08 00:48:01)
Consultar Resumo contábil Folha TCE (Vencimentos)</t>
      </text>
    </comment>
    <comment authorId="0" ref="A43">
      <text>
        <t xml:space="preserve">======
ID#AAAAHDzfKyg
    (2020-10-08 00:48:01)
Consultar Resumo Contábil Folha FUNAFIN (Vencimento Bruto)
Conta EFISCO 899990201</t>
      </text>
    </comment>
    <comment authorId="0" ref="A10">
      <text>
        <t xml:space="preserve">======
ID#AAAAHDzfKyQ
    (2020-10-08 00:48:01)
Consultar Ofício recebido órgãos de origens.</t>
      </text>
    </comment>
    <comment authorId="0" ref="A52">
      <text>
        <t xml:space="preserve">======
ID#AAAAHDzfKx4
    (2020-10-08 00:48:01)
Consultar relatório Sistema RGF (Vencimentos, Vant. e Outras Despesas Variáveis)</t>
      </text>
    </comment>
    <comment authorId="0" ref="A12">
      <text>
        <t xml:space="preserve">======
ID#AAAAHDzfKxg
    (2020-10-08 00:48:01)
Consultar CI GEFP (Obrigações Patronais (Gov PE/PCR)
Conta INATIVADA a partir de janeiro/2019.</t>
      </text>
    </comment>
    <comment authorId="0" ref="A16">
      <text>
        <t xml:space="preserve">======
ID#AAAAHDzfKxU
    (2020-10-08 00:48:01)
Excluir DEA se não for do período de apuração.</t>
      </text>
    </comment>
    <comment authorId="0" ref="A26">
      <text>
        <t xml:space="preserve">======
ID#AAAAHDzfKxI
    (2020-10-08 00:48:01)
Consultar Planilha CI GEFP (Contribuição Patronal (Gov PE/PCR)</t>
      </text>
    </comment>
    <comment authorId="0" ref="A23">
      <text>
        <t xml:space="preserve">======
ID#AAAAHDzfKxE
    (2020-10-08 00:48:01)
Consultar CI GEAC (INSS Patronal Comissionados)</t>
      </text>
    </comment>
    <comment authorId="0" ref="A22">
      <text>
        <t xml:space="preserve">======
ID#AAAAHDzfKxA
    (2020-10-08 00:48:01)
Consultar CI GEAC (Funafin Patronal - empenhar)</t>
      </text>
    </comment>
    <comment authorId="0" ref="A9">
      <text>
        <t xml:space="preserve">======
ID#AAAAHDzfKwo
    (2020-10-08 00:48:01)
Consultar Resumo contábil Folha TCE (Vencimentos). Atenção o DEA só deve ser deduzido no relatório do 3º quadrimestre.</t>
      </text>
    </comment>
    <comment authorId="0" ref="A25">
      <text>
        <t xml:space="preserve">======
ID#AAAAHDzfKwg
    (2020-10-08 00:48:01)
Consultar CI GEFP (Obrigações Patronais (Gov PE/PCR)
Conta INATIVADA a partir de janeiro/2019.</t>
      </text>
    </comment>
    <comment authorId="0" ref="A4">
      <text>
        <t xml:space="preserve">======
ID#AAAAHDzfKv8
    (2020-10-08 00:48:01)
Consultar Resumo contábil Folha TCE (Vencimentos)</t>
      </text>
    </comment>
    <comment authorId="0" ref="A34">
      <text>
        <t xml:space="preserve">======
ID#AAAAHDzfKvs
    (2020-10-08 00:48:01)
Inserir valor do evento 681 (Resumo Folha de Pagamento)</t>
      </text>
    </comment>
    <comment authorId="0" ref="A13">
      <text>
        <t xml:space="preserve">======
ID#AAAAHDzfKvY
    (2020-10-08 00:48:01)
Conta não utilizada pelo TCE.</t>
      </text>
    </comment>
  </commentList>
  <extLst>
    <ext uri="GoogleSheetsCustomDataVersion1">
      <go:sheetsCustomData xmlns:go="http://customooxmlschemas.google.com/" r:id="rId1" roundtripDataSignature="AMtx7mhf8DUUuJLZNtQb5QrSh25sDGg40Q=="/>
    </ext>
  </extLst>
</comments>
</file>

<file path=xl/sharedStrings.xml><?xml version="1.0" encoding="utf-8"?>
<sst xmlns="http://schemas.openxmlformats.org/spreadsheetml/2006/main" count="3842" uniqueCount="1024">
  <si>
    <t>Período de Lançamento:</t>
  </si>
  <si>
    <t>01/09/2019 a 31/12/2019</t>
  </si>
  <si>
    <t>Data de Realização Até:</t>
  </si>
  <si>
    <t>Saldo Anterior</t>
  </si>
  <si>
    <t>Credor</t>
  </si>
  <si>
    <t>Devedor</t>
  </si>
  <si>
    <t>Líquido</t>
  </si>
  <si>
    <t>Saldo Final</t>
  </si>
  <si>
    <t>Saldo Atual</t>
  </si>
  <si>
    <t>3.1.1.1.1.11.01</t>
  </si>
  <si>
    <t>SALÁRIOS E VENCIMENTOS - PESSOAL CIVIL</t>
  </si>
  <si>
    <t>D</t>
  </si>
  <si>
    <t>3.1.1.1.1.11.07</t>
  </si>
  <si>
    <t>ABONO DE PERMANÊNCIA - PESSOAL CIVIL</t>
  </si>
  <si>
    <t>3.1.1.1.1.11.31</t>
  </si>
  <si>
    <t>GRATIFICAÇÃO POR EXERCÍCIO DE CARGOS - PESSOAL CIVIL</t>
  </si>
  <si>
    <t>3.1.1.1.1.11.33</t>
  </si>
  <si>
    <t>GRATIFICAÇÃO POR EXERCÍCIO DE FUNÇÕES - PESSOAL CIVIL</t>
  </si>
  <si>
    <t>3.1.1.1.1.11.37</t>
  </si>
  <si>
    <t>GRATIFICAÇÃO POR TEMPO DE SERVIÇO - PESSOAL CIVIL</t>
  </si>
  <si>
    <t>3.1.1.1.1.11.43</t>
  </si>
  <si>
    <t>13º SALÁRIO - PESSOAL CIVIL</t>
  </si>
  <si>
    <t>3.1.1.1.1.11.45</t>
  </si>
  <si>
    <t>FÉRIAS - ABONO CONSTITUCIONAL (1/3) - PESSOAL CIVIL</t>
  </si>
  <si>
    <t>3.1.1.1.1.12.01</t>
  </si>
  <si>
    <t>SOLDOS E VENCIMENTOS - PESSOAL MILITAR</t>
  </si>
  <si>
    <t>3.1.1.1.1.16.07</t>
  </si>
  <si>
    <t>HORAS EXTRAS - PC</t>
  </si>
  <si>
    <t>3.1.1.1.1.92.09</t>
  </si>
  <si>
    <t>DEA - ATIVOS - PESSOAL CIVIL</t>
  </si>
  <si>
    <t>3.1.9.2.1.96.01</t>
  </si>
  <si>
    <t>RESSARCIMENTO PESSOAL À DISPOSIÇÃO DO ESTADO</t>
  </si>
  <si>
    <t>3.1.1.1.1.99.01</t>
  </si>
  <si>
    <t>REMUNERAÇÃO A PESSOAL ATIVO RPPS A CLASSIFICAR</t>
  </si>
  <si>
    <t>3.1.2.1.2.13.01</t>
  </si>
  <si>
    <t>ENCARGOS PATRONAIS AO RPPS - SERVIDOR ATIVO CIVIL</t>
  </si>
  <si>
    <t>3.1.2.2.3.13.02</t>
  </si>
  <si>
    <t>CONTRIBUIÇÃO PATRONAL - INSS</t>
  </si>
  <si>
    <t>4.9.9.9.1.03.02</t>
  </si>
  <si>
    <t>RESSARCIMENTO DE PESSOAL À DISPOSIÇÃO - ENCARGOS PATRONAIS</t>
  </si>
  <si>
    <t>C</t>
  </si>
  <si>
    <t>8.9.9.9.9.02.01</t>
  </si>
  <si>
    <t>DESPESAS COM INATIVOS</t>
  </si>
  <si>
    <t>8.9.9.9.9.02.03</t>
  </si>
  <si>
    <t>DESPESAS COM PENSIONISTAS</t>
  </si>
  <si>
    <t>01/01/2020 a 31/01/2020</t>
  </si>
  <si>
    <t>01/02/2020 a 29/02/2020</t>
  </si>
  <si>
    <t>01/03/2020 a 31/03/2020</t>
  </si>
  <si>
    <t>01/04/2020 a 30/04/2020</t>
  </si>
  <si>
    <t>01/05/2020 a 31/05/2020</t>
  </si>
  <si>
    <t>REMUNERAÇÃO DE PESSOAL ATIVO RPPS</t>
  </si>
  <si>
    <t>01/06/2020 a 30/06/2020</t>
  </si>
  <si>
    <t>01/07/2020 a 31/07/2020</t>
  </si>
  <si>
    <t>01/08/2020 a 31/08/2020</t>
  </si>
  <si>
    <t>RGF - ANEXO I (LRF, Art.55, Inciso I, Alínea"a")</t>
  </si>
  <si>
    <t>DESPESA COM PESSOAL</t>
  </si>
  <si>
    <t>DESPESAS EXECUTADAS</t>
  </si>
  <si>
    <t>(Últimos 12 Meses)</t>
  </si>
  <si>
    <t>LIQUIDADAS</t>
  </si>
  <si>
    <t>Inscritas em restos a pagar não processados (b)</t>
  </si>
  <si>
    <t>TOTAL  (Últimos 12 meses)          (a)</t>
  </si>
  <si>
    <t xml:space="preserve">  DESPESA BRUTA COM PESSOAL(I)</t>
  </si>
  <si>
    <t>0,00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</si>
  <si>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</si>
  <si>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</si>
  <si>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</si>
  <si>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</si>
  <si>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</si>
  <si>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</si>
  <si>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</si>
  <si>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</si>
  <si>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terceirização(§ 1º do art. 18 da LRF)</t>
  </si>
  <si>
    <t xml:space="preserve">  DESPESAS NÃO COMPUTADAS (§ 1º do art. 19 da LRF)(II)</t>
  </si>
  <si>
    <t xml:space="preserve">     Indenizações por Demissão e Incentivos à Demissão Voluntária</t>
  </si>
  <si>
    <t xml:space="preserve">     Decorrentes de Decisão Judicial de Período Anterior ao da Apuração</t>
  </si>
  <si>
    <t xml:space="preserve">     Despesas de Exercícios Anteriores de período Anterior ao da Apuração</t>
  </si>
  <si>
    <t xml:space="preserve">     Inativos e Pensionistas com Recursos Vinculados</t>
  </si>
  <si>
    <t xml:space="preserve">  DESPESA LÍQUIDA COM PESSOAL(III)=(I-II)</t>
  </si>
  <si>
    <t>APURAÇÃO DO CUMPRIMENTO DO LIMITE LEGAL</t>
  </si>
  <si>
    <t>VALOR</t>
  </si>
  <si>
    <t xml:space="preserve">% sobre a RCL Ajustada </t>
  </si>
  <si>
    <t>RECEITA CORRENTE LÍQUIDA - RCL (IV)</t>
  </si>
  <si>
    <t>(-) Transferências Obrigatórias da União Relativas às Emendas Individuais(V) (§13º, art. 166 da CF)</t>
  </si>
  <si>
    <t>= RECEITA CORRENTE LÍQUIDA AJUSTADA (VI)</t>
  </si>
  <si>
    <t>DESPESA TOTAL COM PESSOAL - DTP (VII)=(III a + III b)</t>
  </si>
  <si>
    <t>LIMITE MÁXIMO (VIII) (Incisos I,II,III, Artigo 20 da LRF)</t>
  </si>
  <si>
    <t>LIMITE PRUDENCIAL (IX) (0,95xVI) (Parágrafo Único, Artigo 22 da LRF)</t>
  </si>
  <si>
    <t>LIMITE ALERTA (X) (0,90xVI) (Inciso II do § 1º do Artigo 59 da LRF)</t>
  </si>
  <si>
    <t>NOTAS EXPLICATIVAS:</t>
  </si>
  <si>
    <r>
      <rPr>
        <rFont val="Arial"/>
        <b/>
        <sz val="10.0"/>
      </rPr>
      <t>Nota 1</t>
    </r>
    <r>
      <rPr>
        <rFont val="Arial"/>
        <color rgb="FF000000"/>
        <sz val="10.0"/>
      </rPr>
      <t>: O TCE-PE e demais Órgãos integrantes da Administração Pública Estadual, utilizam o sistema E-Fisco, cuja administração, manutenção e supervisão são operacionalizados pelo Poder Executivo do Estado de Pernambuco.</t>
    </r>
  </si>
  <si>
    <r>
      <rPr>
        <rFont val="Arial"/>
        <b/>
        <sz val="10.0"/>
      </rPr>
      <t>Nota 2:</t>
    </r>
    <r>
      <rPr>
        <rFont val="Arial"/>
        <color rgb="FF000000"/>
        <sz val="10.0"/>
      </rPr>
      <t xml:space="preserve"> As despesas com servidores inativos e pensionistas vinculados aos órgãos filiados ao Regime de Previdência Social dos Servidores do Estado de Pernambuco, são pagas pelo Fundo Financeiro de Aposentadorias e Pensões dos Servidores do Estado de Pernambuco - FUNAFIN.</t>
    </r>
  </si>
  <si>
    <r>
      <rPr>
        <rFont val="Arial"/>
        <b/>
        <sz val="10.0"/>
      </rPr>
      <t>Nota 3:</t>
    </r>
    <r>
      <rPr>
        <rFont val="Arial"/>
        <color rgb="FF000000"/>
        <sz val="10.0"/>
      </rPr>
      <t xml:space="preserve"> O reembolso da Contribuição Previdenciária Patronal do FUNAFIN é objeto de convênios para ressarcimento dos valores dos salários e contribuições previdenciárias patronais do FUNAFIN dos servidores efetivos pertencentes aos quadros do TCE-PE, que estão à disposição do Governo do Estado de Pernambuco e do Município do Recife (CONVENENTES).</t>
    </r>
  </si>
  <si>
    <t>Nesta publicação, o reembolso da Contribuição Previdenciária Patronal do FUNAFIN, do período de setembro/2019 a agosto/2020, no valor de R$ 1.708.328,76 (equivalente a 0,55% da despesa líquida com pessoal), embora registrado no E-Fisco na conta patrimoniais 4.9.9.9.1.03.02, não produziu efeitos na respectiva execução orçamentária.</t>
  </si>
  <si>
    <t>O efeito do valor em relação ao comentário supracitado, resultou em aumento indevido do valor da despesa líquida com pessoal dos últimos 12(doze) meses, e para evitá-lo, o TCE-PE realizou o respectivo ajuste para fins de publicação.</t>
  </si>
  <si>
    <r>
      <rPr>
        <rFont val="Arial"/>
        <b/>
        <sz val="10.0"/>
      </rPr>
      <t>Nota 4:</t>
    </r>
    <r>
      <rPr>
        <rFont val="Arial"/>
        <color rgb="FF000000"/>
        <sz val="10.0"/>
      </rPr>
      <t xml:space="preserve"> Conforme entendimento do TCE-PE, por meio do Acórdão TCE-PE 355/2018, combinado com o Acórdão TCE-PE 42/2020 não foram considerados, no cômputo da despesa com pessoal ativo, os valores pagos pela Administração a título de Abono de Permanência em serviço (período setembro/2019 a dezembro/2019 - R$ 1.553.103,82) e do Terço Constitucional de Férias (período setembro/2019 a agosto/2020 - R$ 4.528.171,01), que possuem natureza indenizatória. </t>
    </r>
  </si>
  <si>
    <t>CONCILIAÇÃO TCE/PE X EFISCO</t>
  </si>
  <si>
    <t>ESTADO DE PERNAMBUCO</t>
  </si>
  <si>
    <t>PODER LEGISLATIVO</t>
  </si>
  <si>
    <t>TRIBUNAL DE CONTAS DO ESTADO DE PERNAMBUCO</t>
  </si>
  <si>
    <t xml:space="preserve">RELATÓRIO DE GESTÃO FISCAL </t>
  </si>
  <si>
    <t>DEMONSTRATIVO DA DESPESA COM PESSOAL</t>
  </si>
  <si>
    <t>ORÇAMENTOS FISCAIS E DA SEGURIDADE SOCIAL</t>
  </si>
  <si>
    <t>2º Quadrimestre de 2020</t>
  </si>
  <si>
    <t>Período: setembro/2019 a agosto/2020</t>
  </si>
  <si>
    <t>(-) Transferências Obrigatórias da União Relativas às Emendas Individuais (Art.166-A, §1º, da CF) (V)</t>
  </si>
  <si>
    <t>(-) Transferências Obrigatórias da União Relativas às Emendas de Bancada (Art. 166, §16, da CF) (VI)</t>
  </si>
  <si>
    <t xml:space="preserve">  = RECEITA CORRENTE LÍQUIDA AJUSTADA PARA CÁLCULO DOS LIMITES DA DESPESA COM 
  PESSOAL (VII) = (IV - V - VI) </t>
  </si>
  <si>
    <t>DESPESA TOTAL COM PESSOAL - DTP (VIII)=(III a + III b)</t>
  </si>
  <si>
    <t>FONTE: SISTEMA E-FISCO 2019/2020 - DADOS DEFINITIVOS</t>
  </si>
  <si>
    <t>UNIDADE RESPONSÁVEL: DCF/GEAC</t>
  </si>
  <si>
    <t>DATA DA EMISSÃO: 28/09/2020</t>
  </si>
  <si>
    <t>HORA DA EMISSÃO: 10h49min00</t>
  </si>
  <si>
    <t>PUBLICADO NO DIÁRIO ELETRÔNICO DO TCEPE NO DIA 30/09/2020</t>
  </si>
  <si>
    <r>
      <rPr>
        <rFont val="Arial"/>
        <b/>
        <sz val="10.0"/>
      </rPr>
      <t>Nota 1</t>
    </r>
    <r>
      <rPr>
        <rFont val="Arial"/>
        <sz val="10.0"/>
      </rPr>
      <t>: O TCE-PE e demais Órgãos integrantes da Administração Pública Estadual, utilizam o sistema E-Fisco, cuja administração, manutenção e supervisão são operacionalizados pelo Poder Executivo do Estado de Pernambuco.</t>
    </r>
  </si>
  <si>
    <r>
      <rPr>
        <rFont val="Arial"/>
        <b/>
        <sz val="10.0"/>
      </rPr>
      <t>Nota 2:</t>
    </r>
    <r>
      <rPr>
        <rFont val="Arial"/>
        <sz val="10.0"/>
      </rPr>
      <t xml:space="preserve"> As despesas com servidores inativos e pensionistas vinculados aos órgãos filiados ao Regime de Previdência Social dos Servidores do Estado de Pernambuco, são pagas pelo Fundo Financeiro de Aposentadorias e Pensões dos Servidores do Estado de Pernambuco - FUNAFIN.</t>
    </r>
  </si>
  <si>
    <r>
      <rPr>
        <rFont val="Arial"/>
        <b/>
        <sz val="10.0"/>
      </rPr>
      <t>Nota 3:</t>
    </r>
    <r>
      <rPr>
        <rFont val="Arial"/>
        <sz val="10.0"/>
      </rPr>
      <t xml:space="preserve"> O reembolso da Contribuição Previdenciária Patronal do FUNAFIN é objeto de convênios para ressarcimento dos valores dos salários e contribuições previdenciárias patronais do FUNAFIN dos servidores efetivos pertencentes aos quadros do TCE-PE, que estão à disposição do Governo do Estado de Pernambuco e do Município do Recife (CONVENENTES).</t>
    </r>
  </si>
  <si>
    <r>
      <rPr>
        <rFont val="Arial"/>
        <b/>
        <sz val="10.0"/>
      </rPr>
      <t>Nota 4</t>
    </r>
    <r>
      <rPr>
        <rFont val="Arial"/>
        <sz val="10.0"/>
      </rPr>
      <t xml:space="preserve">: Conforme entendimento do TCE-PE, por meio do Acórdão TCE-PE 355/18, combinado com o Acórdão TCE-PE 42/20 não foram considerados, no cômputo da despesa com pessoal ativo, os valores pagos pela Administração a título de Licença Prêmio em Pecúnia e do Terço Constitucional de Férias, que possuem natureza indenizatória.       </t>
    </r>
  </si>
  <si>
    <t>DIRCEU RODOLFO DE MELO JÚNIOR</t>
  </si>
  <si>
    <t>EDGAR TÁVORA DE SOUSA</t>
  </si>
  <si>
    <t>ANDRÉ RICARDO BATISTA DE BARROS E SILVA</t>
  </si>
  <si>
    <t>Presidente do TCE/PE</t>
  </si>
  <si>
    <t>Diretor de Gestão e Governança</t>
  </si>
  <si>
    <t>Diretor de Contabilidade Finanças</t>
  </si>
  <si>
    <t>Contador CRC/PE 016.082/O</t>
  </si>
  <si>
    <t>Vencimentos, vantagens e deduções</t>
  </si>
  <si>
    <t>Total no período</t>
  </si>
  <si>
    <t>CONTA</t>
  </si>
  <si>
    <t>EFISCO</t>
  </si>
  <si>
    <t>DIFERENÇA</t>
  </si>
  <si>
    <t>3.3.1.90.11.01 - Venc. e Vantagens</t>
  </si>
  <si>
    <t>3.3.1.90.11.01 - Venc. e Vantagens (-)</t>
  </si>
  <si>
    <t xml:space="preserve">3.3.1.90.11.01 - Ressarcimento Gov PE (-) </t>
  </si>
  <si>
    <t>3.3.1.90.11.01 - Ressarcimento PCR (-)</t>
  </si>
  <si>
    <t>3.3.1.90.11.07 - Abono Permanência - Pessoal Civil</t>
  </si>
  <si>
    <t>3.3.1.90.11.31 - Gratif. p/ exercício - Resumo Geral</t>
  </si>
  <si>
    <t>3.3.1.90.11.37 - Gratif. p/ tempo serviço - Resumo Geral</t>
  </si>
  <si>
    <t xml:space="preserve">3.3.1.90.11.43 - 13º Salário </t>
  </si>
  <si>
    <t>3.3.1.90.12.01 - Pessoal Militar</t>
  </si>
  <si>
    <t>3.3.1.90.16.07 - Horas Extras</t>
  </si>
  <si>
    <t>3.3.1.90.92.09 (DEA)</t>
  </si>
  <si>
    <t>3.1.9.2.1.96.01 - Pessoal Requisitados Outros Órgãos</t>
  </si>
  <si>
    <t>Total  Vencimentos e vantagens</t>
  </si>
  <si>
    <t xml:space="preserve">Valor Sistema RGF </t>
  </si>
  <si>
    <t>diferença apurada</t>
  </si>
  <si>
    <t>Encargos patronais</t>
  </si>
  <si>
    <t>3.1.2.1.2.13.01 - FUNAFIN</t>
  </si>
  <si>
    <t>3.1.2.2.3.13.02 - INSS</t>
  </si>
  <si>
    <t>Total Encargos patronais</t>
  </si>
  <si>
    <t>4.9.9.9.1.03.02 - Res.Pessoal à Disp.-Enc.Patronais</t>
  </si>
  <si>
    <t>Total Encargos Patronais Ajustado</t>
  </si>
  <si>
    <t>Deduções (Acórdão TCE 355/18)</t>
  </si>
  <si>
    <t>3.3.1.90.11.45 - Férias - Abono Constitucional (1/3) - Pessoal Civil</t>
  </si>
  <si>
    <t>(-) 3.3.1.90.11.45 - Devolução Férias - Abono Constitucional</t>
  </si>
  <si>
    <t>(-) 3.3.1.90.11.45 - Devolução Férias - Abono Constitucional (Servidores Cedidos)</t>
  </si>
  <si>
    <t>Total</t>
  </si>
  <si>
    <t>Saldo EFISCO (Conta EFISCO 3.1.1.1.1.11.07)</t>
  </si>
  <si>
    <t>Saldo EFISCO (Conta EFISCO 3.1.1.1.1.11.45)</t>
  </si>
  <si>
    <t>Aposentadoria, Reserva e Reformas</t>
  </si>
  <si>
    <t>2.1.1.4.9.60.01 - Contribuições ao Funafin</t>
  </si>
  <si>
    <t>(-) 2.1.1.4.9.60.01 - Contribuições ao Funafin (-)</t>
  </si>
  <si>
    <t>Pensões</t>
  </si>
  <si>
    <t>8.9.9.9.9.02.03 - Despesa com Pensionistas</t>
  </si>
  <si>
    <t>Total Pensões</t>
  </si>
  <si>
    <t>TCE</t>
  </si>
  <si>
    <t>Pessoal Ativo</t>
  </si>
  <si>
    <t xml:space="preserve">Vencimentos e Vantagens </t>
  </si>
  <si>
    <t>Obrigações Patronais - Ativo</t>
  </si>
  <si>
    <t>Benefícios Previdenciários</t>
  </si>
  <si>
    <t>Pessoal Inativo e Pensionistas</t>
  </si>
  <si>
    <t>Aposentadorias</t>
  </si>
  <si>
    <t>Outros Benefícios Previdenciários</t>
  </si>
  <si>
    <t xml:space="preserve">Despesa não Computadas (§ 1º do art. 19 da LRF) </t>
  </si>
  <si>
    <t>Indenizações por demissão e Incentivos</t>
  </si>
  <si>
    <t>Decorrentes Decisão Judicial período anterior</t>
  </si>
  <si>
    <t>Inativos e Pensionistas</t>
  </si>
  <si>
    <t>DEA período anterior ao da apuração</t>
  </si>
  <si>
    <t>DTP e Apuração do Cumprimento do Limite Legal</t>
  </si>
  <si>
    <t>Valor</t>
  </si>
  <si>
    <t>% s/ RCL Ajustada</t>
  </si>
  <si>
    <t>DTP</t>
  </si>
  <si>
    <t>-</t>
  </si>
  <si>
    <t>RCL</t>
  </si>
  <si>
    <t>(-) Transferência Obrig. da União relativa às emendas individuais</t>
  </si>
  <si>
    <t>(-) Transferência Obrig. da União relativa às emendas de bancada</t>
  </si>
  <si>
    <t xml:space="preserve">RCL Ajustada </t>
  </si>
  <si>
    <t>Despesa Total com Pessoal - DTP</t>
  </si>
  <si>
    <t>Limite Máximo (Incisos I, II e III, Artigo 20 da LRF)</t>
  </si>
  <si>
    <t>% do Limite Máximo do TCE-PE</t>
  </si>
  <si>
    <t>Limite Prudencial (0,95 x VI) (Parágrafo Único, Artigo 22 da LRF)</t>
  </si>
  <si>
    <t>% do Limite Prudencial</t>
  </si>
  <si>
    <t>Limite Alerta (0,90 x VI) (Inciso II do § 1º do Artigo 59 da LRF)</t>
  </si>
  <si>
    <t>% do Limite de Alerta</t>
  </si>
  <si>
    <t>Quadro Consolidado das Diferenças de Informações (TCE x EFISCO)</t>
  </si>
  <si>
    <t>(A)</t>
  </si>
  <si>
    <t>DESPESA LÍQUIDA COM PESSOAL (III) = (I - II) (Nota 3) - CONFORME TCE-PE</t>
  </si>
  <si>
    <t>(B)</t>
  </si>
  <si>
    <t>Nota 3 (efeito do Convênio de Ressarcimento)</t>
  </si>
  <si>
    <t>(C)=(A)+(B)</t>
  </si>
  <si>
    <t>DESPESA LÍQUIDA COM PESSOAL (III) = (I - II) (Nota 3) - CONFORME E-FISCO (desconsiderando o expurgo)</t>
  </si>
  <si>
    <t>(D)</t>
  </si>
  <si>
    <t>Nota 4 (efeito dos Acórdãos TCE-PE 355/2018 e 42/2020)</t>
  </si>
  <si>
    <t>(E)=(C)+(D)</t>
  </si>
  <si>
    <t>DESPESA LÍQUIDA COM PESSOAL (III) = (I - II) (Nota 3) – CONFORME E-FISCO (sem os efeitos das notas 3 e 4)</t>
  </si>
  <si>
    <t>Despesa com Pessoal (Últimos 12 Meses)</t>
  </si>
  <si>
    <t>DESPESA TOTAL COM PESSOAL - DTP(V)=(III a + III b)</t>
  </si>
  <si>
    <t>LIMITE MÁXIMO(VI) (Incisos I,II,III, Artigo 20 da LRF)</t>
  </si>
  <si>
    <t>LIMITE PRUDENCIAL(VII) (0,95xVI) (Parágrafo Único, Artigo 22 da LRF)</t>
  </si>
  <si>
    <t>LIMITE ALERTA(VIII) (0,90xVI) (Inciso II do § 1º do Artigo 59 da LRF)</t>
  </si>
  <si>
    <t>Mês</t>
  </si>
  <si>
    <t>Nota de Liquidação</t>
  </si>
  <si>
    <t>Evento 010 da folha de pagamento - Relatório: 1 - ResumodaFolhadePagamento mês/ano</t>
  </si>
  <si>
    <t>2020LE001334</t>
  </si>
  <si>
    <r>
      <t xml:space="preserve">Conta Contábil: </t>
    </r>
    <r>
      <rPr>
        <rFont val="Arial"/>
        <b/>
        <sz val="10.0"/>
      </rPr>
      <t>3.1.3.1.1.93.41</t>
    </r>
    <r>
      <rPr>
        <rFont val="Arial"/>
        <color rgb="FF000000"/>
        <sz val="10.0"/>
      </rPr>
      <t xml:space="preserve"> - Item de Gasto: </t>
    </r>
    <r>
      <rPr>
        <rFont val="Arial"/>
        <b/>
        <sz val="10.0"/>
      </rPr>
      <t>3.3.90.93.41</t>
    </r>
  </si>
  <si>
    <t>2020LE001187</t>
  </si>
  <si>
    <t>2020LE001117</t>
  </si>
  <si>
    <t>2019LE004549</t>
  </si>
  <si>
    <t>2019LE003954</t>
  </si>
  <si>
    <t>2019LE003534</t>
  </si>
  <si>
    <t>2019LE003537</t>
  </si>
  <si>
    <t>2019LE003167</t>
  </si>
  <si>
    <t>TOTAL</t>
  </si>
  <si>
    <t>FONTE SEFAZ</t>
  </si>
  <si>
    <t>DESPESA BRUTA COM PESSOAL</t>
  </si>
  <si>
    <t xml:space="preserve">  Vencim Vant e outras Desp Var</t>
  </si>
  <si>
    <t xml:space="preserve">  Obrigações Patronais</t>
  </si>
  <si>
    <t xml:space="preserve">   Benefícios Previdenciários</t>
  </si>
  <si>
    <t>Pessoal Inativo</t>
  </si>
  <si>
    <t xml:space="preserve">  Apos Res e Reforma</t>
  </si>
  <si>
    <t xml:space="preserve">  Pensões</t>
  </si>
  <si>
    <t xml:space="preserve">  Outros Benefícios Previdenciários</t>
  </si>
  <si>
    <t xml:space="preserve"> Outras despesas de pessoal decorrentes de contratos de terceirização(§ 1º do art. 18 da LRF)</t>
  </si>
  <si>
    <t>DESPESAS NÃO COMPUTADAS</t>
  </si>
  <si>
    <t xml:space="preserve"> Indenizações por Demissão e Incentivos à Demissão Voluntária</t>
  </si>
  <si>
    <t xml:space="preserve"> Decorrentes de Decisão Judicial de Período Anterior ao da Apuração</t>
  </si>
  <si>
    <t>Despesas de Exercícios Anteriores</t>
  </si>
  <si>
    <t>Inativos e Pensionistas c Rec Vinc</t>
  </si>
  <si>
    <t>(-) DEA</t>
  </si>
  <si>
    <t>DESPESA LIQUIDA COM PESSOAL</t>
  </si>
  <si>
    <t>DEMONSTRATIVO DA DISPONIBILIDADE DE CAIXA E DOS RESTOS A PAGAR</t>
  </si>
  <si>
    <t>3º Quadrimestre de 2019</t>
  </si>
  <si>
    <t>PERÍODO: JANEIRO A DEZEMBRO DE 2019</t>
  </si>
  <si>
    <t>RGF - ANEXO V (LRF, Art.55, Inciso III, Alínea"a")</t>
  </si>
  <si>
    <t>R$ 1,00</t>
  </si>
  <si>
    <t>IDENTIFICAÇÃO DOS RECURSOS</t>
  </si>
  <si>
    <t>DISPONIBILIDADE DE CAIXA BRUTA (a)</t>
  </si>
  <si>
    <t>OBRIGAÇÕES FINANCEIRAS</t>
  </si>
  <si>
    <t>DISPONIBILIDADE DE CAIXA LÍQUIDA (ANTES DA INSCRIÇÃO EM RESTOS A PAGAR NÃO PROCESSADOS DO EXERCÍCIO) (f) =  (a – (b + c + d + e))</t>
  </si>
  <si>
    <t>RESTOS A PAGAR
EMPENHADOS E
NÃO
LIQUIDADOS DO
EXERCÍCIO (g)</t>
  </si>
  <si>
    <t>EMPENHOS NÃO LIQUIDADOS CANCELADOS (NÃO INSCRITOS POR INSUFICIÊNCIA FINANCEIRA)</t>
  </si>
  <si>
    <t>DISPONIBILIDADE DE CAIXA LÍQUIDA (APÓS A INSCRIÇÃO EM RESTOS A PAGAR NÃO PROCESSADOS DO EXERCÍCIO) (h) = (f - g)</t>
  </si>
  <si>
    <t>Restos a Pagar Liquidados e Não Pagos</t>
  </si>
  <si>
    <t>Restos a Pagar Empenhados e Não Liquidados de Exercícios Anteriores (d)</t>
  </si>
  <si>
    <t>Demais Obrigações Financeiras (e)</t>
  </si>
  <si>
    <t>De Exercícios Anteriores (b)</t>
  </si>
  <si>
    <t>Do Exercício (c)</t>
  </si>
  <si>
    <t>TOTAL DOS RECURSOS NÃO VINCULADOS (I)</t>
  </si>
  <si>
    <t>Recursos Ordinários</t>
  </si>
  <si>
    <t>Outros Recursos Não Vinculados</t>
  </si>
  <si>
    <t>TOTAL DOS RECURSOS VINCULADOS (II)</t>
  </si>
  <si>
    <t>Recursos Vinculados ao RPPS</t>
  </si>
  <si>
    <t>Recursos de Operações de Crédito</t>
  </si>
  <si>
    <t>Recursos de Alienação de Bens/Ativos</t>
  </si>
  <si>
    <t>Recursos Vinculados a Precatórios</t>
  </si>
  <si>
    <t>Recursos Vinculados a Depósitos Judiciais</t>
  </si>
  <si>
    <t>Outros Recursos Vinculados</t>
  </si>
  <si>
    <t>TOTAL (III) = (I + II)</t>
  </si>
  <si>
    <t>FONTE: SISTEMA E-FISCO 2019 - DADOS DEFINITIVOS</t>
  </si>
  <si>
    <t>DATA DA EMISSÃO: 29/01/2020</t>
  </si>
  <si>
    <t>HORA DA EMISSÃO: 10h28min28</t>
  </si>
  <si>
    <t>NOTA EXPLICATIVA:</t>
  </si>
  <si>
    <r>
      <rPr>
        <rFont val="Arial"/>
        <b/>
        <sz val="10.0"/>
      </rPr>
      <t>Nota 1:</t>
    </r>
    <r>
      <rPr>
        <rFont val="Arial"/>
        <color rgb="FF000000"/>
        <sz val="10.0"/>
      </rPr>
      <t xml:space="preserve"> As informações das DISPONIBILIDADES DE CAIXA LÍQUIDA, exigidas pela Secretaria do Tesouro Nacional do Ministério da Fazenda através do Manual de Demonstrativos Fiscais, 9ª Edição (https://www.tesouro.fazenda.gov.br/-/mdf), para preenchimento do Anexo V (Art. 55, Inciso III, alínea A da LC 101/2000), são obtidas no E-Fisco mediante consulta ao relatório denominado RAZÃO CONTÁBIL, das contas 8.9.1.1.1.01.00 - RECURSOS ORÇAMENTÁRIOS POR FONTE, 8.9.1.1.1.02.01 - RECURSOS EXTRA ORÇAMENTÁRIOS COMPROMETIDOS POR LIQUIDAÇÃO DE EMPENHO e 8.9.1.1.1.02.02 - RECURSOS DE DEPÓSITOS EXTRA ORÇAMENTÁRIOS E DE RETENÇÕES.</t>
    </r>
  </si>
  <si>
    <t>RGF - ANEXO V (LRF art. 55, Inciso III, alínea "a")</t>
  </si>
  <si>
    <t>ATIVO</t>
  </si>
  <si>
    <t>PASSIVO</t>
  </si>
  <si>
    <t>1.1.1.1.1.03.03</t>
  </si>
  <si>
    <t>BRADESCO</t>
  </si>
  <si>
    <t xml:space="preserve"> ATIVO DISPONÍVEL</t>
  </si>
  <si>
    <t>1.1.1.1.1.02.04</t>
  </si>
  <si>
    <t>CONTA UNICA - CAIXA ECONOMICA FEDERAL</t>
  </si>
  <si>
    <t>Disponibilidade Financeira</t>
  </si>
  <si>
    <t>Depósitos</t>
  </si>
  <si>
    <t>1.1.1.1.1.03.04</t>
  </si>
  <si>
    <t>CAIXA ECONOMICA FEDERAL</t>
  </si>
  <si>
    <t>Caixa</t>
  </si>
  <si>
    <t>Restos a Pagar Processados</t>
  </si>
  <si>
    <t>1.1.1.1.1.20.01</t>
  </si>
  <si>
    <t>CDB/RDB</t>
  </si>
  <si>
    <t>Bancos</t>
  </si>
  <si>
    <t xml:space="preserve">Do Exercicio                </t>
  </si>
  <si>
    <t>1.1.1.1.1.03.02</t>
  </si>
  <si>
    <t>BANCO DO BRASIL</t>
  </si>
  <si>
    <t>Conta Movimento</t>
  </si>
  <si>
    <t xml:space="preserve">De Exercícios Anteriores         </t>
  </si>
  <si>
    <t>Contas Vinculadas</t>
  </si>
  <si>
    <t>Outras Obrigações Financeiras</t>
  </si>
  <si>
    <t>2.1.3.1.1.01.01 a 2.1.3.9.9.99.99</t>
  </si>
  <si>
    <t>FORNECEDORES</t>
  </si>
  <si>
    <t>Aplicações Financeiras</t>
  </si>
  <si>
    <t>Consignações e Retenções de Tributos</t>
  </si>
  <si>
    <t>Outras Disponibilidades Financeiras</t>
  </si>
  <si>
    <t>Salários a Pagar</t>
  </si>
  <si>
    <t>2.1.4.1.3.99.01</t>
  </si>
  <si>
    <t>(F) OUTROS TRIBUTOS - SALDO DE EXERCÍCIOS ANTERIORES A PAGAR</t>
  </si>
  <si>
    <t>Saldo Contribuições ao Funafin</t>
  </si>
  <si>
    <t>2.1.1.3.1.01.00</t>
  </si>
  <si>
    <t>(F)BENEFÍCIOS ASSISTENCIAIS DO EXERCÍCIO a pagar</t>
  </si>
  <si>
    <t>Cauções e Contribuições</t>
  </si>
  <si>
    <t>2.1.8.9.5.98.01</t>
  </si>
  <si>
    <t>(F) OUTRAS OBRIGAÇÕES COM os municípios A PAGAR</t>
  </si>
  <si>
    <t>Receitas a Classificar</t>
  </si>
  <si>
    <t>2.1.8.9.1.05.01</t>
  </si>
  <si>
    <t>(F) OUTRAS OBRIGAÇÕES CONTRIBUTIVAS A PAGAR</t>
  </si>
  <si>
    <t>SUBTOTAL</t>
  </si>
  <si>
    <t>CAUÇÕES E CONTRIBUIÇÕES</t>
  </si>
  <si>
    <t>INSUFICIÊNCIA ANTES DA INSCRIÇÃO EM RESTOS A PAGAR NÃO PROCESSADOS (I)</t>
  </si>
  <si>
    <t>SUFICIÊNCIA ANTES DA INSCRIÇÃO EM RESTOS A PAGAR NÃO PROCESSADOS (II)</t>
  </si>
  <si>
    <t>2.1.8.8.1.04.01</t>
  </si>
  <si>
    <t>(F) DEPÓSITOS DE CAUÇÕES DE TERCEIROS</t>
  </si>
  <si>
    <t>2.1.8.8.1.04.02</t>
  </si>
  <si>
    <t>(F) DEPÓSITOS DE TERCEIROS</t>
  </si>
  <si>
    <t>INSCRIÇÃO EM RESTOS A PAGAR NÃO PROCESSADOS (III)</t>
  </si>
  <si>
    <t>SUFICIÊNCIA APÓS A INSCRIÇÃO EM RESTOS A PAGAR NÃO PROCESSADOS (IV) = (II - III)</t>
  </si>
  <si>
    <t>RECEITAS A CLASSIFICAR</t>
  </si>
  <si>
    <t>2.1.8.8.1.80.01</t>
  </si>
  <si>
    <t>(F) DIVERSAS RECEITAS A CLASSIFICAR 214110100</t>
  </si>
  <si>
    <t>REGIME PREVIDENCIÁRIO</t>
  </si>
  <si>
    <t>CONSIGNAÇÕES E RETENÇÕES DE TRIBUTOS</t>
  </si>
  <si>
    <t>2.1.8.8.1.01.01</t>
  </si>
  <si>
    <t>(F) CONSIGNAÇÕES RETIDAS SOBRE A FOLHA DE PAGAMENTO</t>
  </si>
  <si>
    <t>2.1.8.8.1.01.02</t>
  </si>
  <si>
    <t>(F) PENSÃO ALIMENTÍCIA RETIDA SOBRE A FOLHA DE PAGAMENTO</t>
  </si>
  <si>
    <t>2.1.8.8.1.01.03</t>
  </si>
  <si>
    <t>(F) VALE TRANSPORTE RETIDO SOBRE A FOLHA DE PAGAMENTO</t>
  </si>
  <si>
    <t>2.1.8.8.1.01.09</t>
  </si>
  <si>
    <t>(F) OUTRAS CONSIGNAÇÕES RETIDAS SOBRE A FOLHA DE INATIVOS</t>
  </si>
  <si>
    <t>2.1.8.8.3.01.20</t>
  </si>
  <si>
    <t>(F) INSS RETIDO SERVIDORES SOBRE FOLHA DE PAGAMENTO</t>
  </si>
  <si>
    <t>2.1.8.8.3.01.22</t>
  </si>
  <si>
    <t>(F) INSS RETIDO SOBRE SERVIÇOS DE TERCEIROS/PF</t>
  </si>
  <si>
    <t>2.1.8.8.3.01.23</t>
  </si>
  <si>
    <t>(F) INSS RETIDO SOBRE SERVIÇOS DE TERCEIROS/PJ</t>
  </si>
  <si>
    <t>2.1.8.8.3.01.31</t>
  </si>
  <si>
    <t>(F) IMPOSTO DE RENDA RETIDO SOBRE A FOLHA DE PAGAMENTO</t>
  </si>
  <si>
    <t>2.1.8.8.3.01.32</t>
  </si>
  <si>
    <t>(F) IMPOSTO DE RENDA RETIDO, EXCETO SOBRE A FOLHA DE PAGAMENTO</t>
  </si>
  <si>
    <t>2.1.8.8.5.01.51</t>
  </si>
  <si>
    <t>(F) IMPOSTO SOBRE SERVIÇOS RETIDO DE PF E PJ</t>
  </si>
  <si>
    <t>INSUFICIÊNCIA ANTES DA INSCRIÇÃO EM RESTOS A PAGAR NÃO PROCESSADOS (V)</t>
  </si>
  <si>
    <t>SUFICIÊNCIA ANTES DA INSCRIÇÃO EM RESTOS A PAGAR NÃO PROCESSADOS (VI)</t>
  </si>
  <si>
    <t>SALÁRIOS A PAGAR</t>
  </si>
  <si>
    <t>2.1.1.1.1.01.01</t>
  </si>
  <si>
    <t>(F)OBRIGAÇÕES DE PESSOAL A PAGAR - EXTRA FOLHA</t>
  </si>
  <si>
    <t>INSCRIÇÃO EM RESTOS A PAGAR NÃO PROCESSADOS (VII)</t>
  </si>
  <si>
    <t>2.1.1.1.1.01.91</t>
  </si>
  <si>
    <t>(F)FOLHA PESSOAL A PAGAR PELA UG</t>
  </si>
  <si>
    <t>SUFICIÊNCIA APÓS A INSCRIÇÃO EM RESTOS A PAGAR NÃO PROCESSADOS (VIII) = (VI - VII)</t>
  </si>
  <si>
    <t xml:space="preserve">DÉFICIT </t>
  </si>
  <si>
    <t xml:space="preserve">SUPERÁVIT  </t>
  </si>
  <si>
    <t>2.1.8.8.1.97.03</t>
  </si>
  <si>
    <t>(F)CONTRIBUIÇÕES OUTROS PODERES A REPASSAR</t>
  </si>
  <si>
    <t>2.1.8.8.2.99.03</t>
  </si>
  <si>
    <t>6.3.2.1.0.00.00</t>
  </si>
  <si>
    <t>DEMONSTRATIVO SIMPLIFICADO DO RELATÓRIO DE GESTÃO FISCAL</t>
  </si>
  <si>
    <t>RGF - ANEXO VI (LRF, Art.48)</t>
  </si>
  <si>
    <t>RECEITA CORRENTE LÍQUIDA</t>
  </si>
  <si>
    <t>VALOR ATÉ QUADRIMESTRE</t>
  </si>
  <si>
    <t>Receita Corrente Líquida</t>
  </si>
  <si>
    <t>Receita Corrente Líquida Ajustada</t>
  </si>
  <si>
    <t>VALOR REALIZADO NO PERÍODO</t>
  </si>
  <si>
    <t>% SOBRE A RCL AJUSTADA</t>
  </si>
  <si>
    <t>Limite Máximo (Incisos I,II,III, Artigo 20 da LRF)</t>
  </si>
  <si>
    <t>Limite Prudencial (Parágrafo Único, Artigo 22 da LRF)</t>
  </si>
  <si>
    <t>Limite Alerta (Inciso II do § 1º do Artigo 59 da LRF)</t>
  </si>
  <si>
    <t>RESTOS A PAGAR</t>
  </si>
  <si>
    <t>RESTOS A PAGAR EMPENHADOS E NÃO LIQUIDADOS DO EXERCÍCIO</t>
  </si>
  <si>
    <t>DISPONIBILIDADE DE CAIXA LÍQUIDA (APÓS A INSCRIÇÃO EM RESTOS A PAGAR NÃO PROCESSADOS DO EXERCÍCIO)</t>
  </si>
  <si>
    <t>VALOR TOTAL</t>
  </si>
  <si>
    <t>3.3.1.90.11.31 - Gratif. p/ exercício</t>
  </si>
  <si>
    <t>3.3.1.90.11.37 - Gratif. p/ tempo serviço</t>
  </si>
  <si>
    <t>(-) 3.3.1.90.11.01 - Venc. e Vantagens</t>
  </si>
  <si>
    <t>(-) 4.9.9.9.1.03.00 (2018) - Enc.Pat.Pessoal à Disposição</t>
  </si>
  <si>
    <t>(-) 4.9.9.9.1.03.01 (2019)</t>
  </si>
  <si>
    <t xml:space="preserve">(-) Ressarcimento Gov PE </t>
  </si>
  <si>
    <t xml:space="preserve">(-) Ressarcimento PCR </t>
  </si>
  <si>
    <t>Valor Sistema RGF (EFISCO)</t>
  </si>
  <si>
    <t>FUNAFIN - 312121301</t>
  </si>
  <si>
    <t>INSS - 312231302</t>
  </si>
  <si>
    <t>4.9.9.9.1.03.00 (2018) (-)</t>
  </si>
  <si>
    <t>4.9.9.9.1.03.00</t>
  </si>
  <si>
    <t>4.9.9.9.1.03.02 (2019) (-)</t>
  </si>
  <si>
    <t>diferença</t>
  </si>
  <si>
    <t>DCF</t>
  </si>
  <si>
    <t xml:space="preserve">(-) Transferência Obrig. da União (§ 13, art. 166 da CF)  </t>
  </si>
  <si>
    <t>Nota 4 (efeito do Acórdão TCE-PE 355/2018)</t>
  </si>
  <si>
    <t>(-) 4.9.9.9.1.03.00 (2018) - E.P. Pessoal à Disposição</t>
  </si>
  <si>
    <t>(-) 4.9.9.9.1.03.00 (2018) - Encargos Patronais Pessoal à Disposição</t>
  </si>
  <si>
    <t>PREFEITURA DO RECIFE</t>
  </si>
  <si>
    <t>GOVERNO DO ESTADO DE PERNAMBUCO</t>
  </si>
  <si>
    <t>período</t>
  </si>
  <si>
    <t>vencimentos</t>
  </si>
  <si>
    <t>férias</t>
  </si>
  <si>
    <t>aux saúde</t>
  </si>
  <si>
    <t>encargos patronais</t>
  </si>
  <si>
    <t>total</t>
  </si>
  <si>
    <t>PETCE 3590/2018</t>
  </si>
  <si>
    <t>PETCE 9575/2018</t>
  </si>
  <si>
    <t>PETCE 14545/2018</t>
  </si>
  <si>
    <t>PETCE 20151/2018</t>
  </si>
  <si>
    <t>PETCE 25421/2018</t>
  </si>
  <si>
    <t>PETCE 30423/2018</t>
  </si>
  <si>
    <t>PETCE 36176/2018</t>
  </si>
  <si>
    <t>PETCE 41835/2018</t>
  </si>
  <si>
    <t>PETCE 47757/2018</t>
  </si>
  <si>
    <t>PETCE 52443/2018</t>
  </si>
  <si>
    <t>PETCE 60441/2018</t>
  </si>
  <si>
    <t>PETCE 65137/218</t>
  </si>
  <si>
    <t>PREFEITURA DE PAULISTA</t>
  </si>
  <si>
    <t>jun</t>
  </si>
  <si>
    <t>dif funa</t>
  </si>
  <si>
    <t>dif paul</t>
  </si>
  <si>
    <t>pcr ok</t>
  </si>
  <si>
    <t>gepe ok</t>
  </si>
  <si>
    <t>SALÁRIOS</t>
  </si>
  <si>
    <t>E-FISCO</t>
  </si>
  <si>
    <t>DICA</t>
  </si>
  <si>
    <t>JAN A ABR PCR</t>
  </si>
  <si>
    <t>2016EC000257</t>
  </si>
  <si>
    <t>Estorno relativo aos valores dos vencimentos e gratificação de 1/3 de férias a serem ressarcidos referentes aos servidores cedidos à Prefeitura da Cidade do Recife, conforme convênio com PCR e Ofícios DIFP 026, 027, 028 e 033/2016. Competência: Janeiro/2016 a Abril/2016</t>
  </si>
  <si>
    <t>MAI PCR</t>
  </si>
  <si>
    <t>2016EC000271</t>
  </si>
  <si>
    <t>Estorno relativo aos valores dos vencimentos a serem ressarcidos referentes aos servidores cedidos à Prefeitura da Cidade do Recife, conforme convênio com PCR e planilha DIFP, descontando valores do ressarcimento de abril/16 decorrentes do retorno do servidor Edgard Luiz. Competência: Maio/2016</t>
  </si>
  <si>
    <t>JAN GEPE</t>
  </si>
  <si>
    <t>2016EC000252</t>
  </si>
  <si>
    <t>Estorno relativo aos valores dos vencimentos e gratificação de 1/3 de férias a serem ressarcidos referente aos servidores cedidos ao Governo do Estado de Pernambuco, conforme planilha DIFP. Mês de competência: Janeiro/2016</t>
  </si>
  <si>
    <t>FEV GEPE</t>
  </si>
  <si>
    <t>2016EC000253</t>
  </si>
  <si>
    <t>Estorno relativo aos valores dos vencimentos e gratificação de 1/3 de férias a serem ressarcidos referente aos servidores cedidos ao Governo do Estado de Pernambuco, conforme planilha DIFP. Mês de competência: Fevereiro/2016</t>
  </si>
  <si>
    <t>MAR GEPE</t>
  </si>
  <si>
    <t>2016EC000254</t>
  </si>
  <si>
    <t>Estorno relativo aos valores dos vencimentos a serem ressarcidos referente aos servidores cedidos ao Governo do Estado de Pernambuco, conforme planilha DIFP. Mês de competência: Março/201</t>
  </si>
  <si>
    <t>ABR GEPE</t>
  </si>
  <si>
    <t>2016EC000255</t>
  </si>
  <si>
    <t>Estorno relativo aos valores dos vencimentos e gratificação de 1/3 de férias a serem ressarcidos referente aos servidores cedidos ao Governo do Estado de Pernambuco, conforme planilha DIFP. Mês de competência: Abril/2016</t>
  </si>
  <si>
    <t>MAI GEPE</t>
  </si>
  <si>
    <t>2016EC000276</t>
  </si>
  <si>
    <t>Estorno relativo aos valores dos vencimentos a serem ressarcidos referente aos servidores cedidos ao Governo do Estado de Pernambuco, conforme planilha DIFP. Mês de competência: Maio/2016</t>
  </si>
  <si>
    <t>FEV A ABR PAUL</t>
  </si>
  <si>
    <t>2016EC000259</t>
  </si>
  <si>
    <t>Estorno relativo aos valores dos vencimentos e gratificação de 1/3 de férias a serem ressarcidos referentes ao servidor cedidos à Prefeitura de Paulista, conforme convênio e Ofícios DIFP 018, 022 e 032/2016. Competência: Fevereiro/2016 a Abril/2016</t>
  </si>
  <si>
    <t>MAI PAUL</t>
  </si>
  <si>
    <t>2016EC000273</t>
  </si>
  <si>
    <t>Estorno relativo ao valor do vencimento a ser ressarcido referente ao servidor cedido à Prefeitura de Paulista, conforme convênio e planilha DIFP. Competência: Maio/2016</t>
  </si>
  <si>
    <t>FÉRIAS</t>
  </si>
  <si>
    <t>JAN PAUL</t>
  </si>
  <si>
    <t>SALÁRIOS + FÉRIAS</t>
  </si>
  <si>
    <t>FUNAFIN NÃO CONTABILIZADO COMO DEDUÇÃO DAS DESPESAS</t>
  </si>
  <si>
    <t>AUXÍLIO SAÚDE</t>
  </si>
  <si>
    <t>2016EC000156</t>
  </si>
  <si>
    <t>???</t>
  </si>
  <si>
    <t>abr</t>
  </si>
  <si>
    <t>2016EC000245</t>
  </si>
  <si>
    <t>---------- Mensagem encaminhada ----------</t>
  </si>
  <si>
    <t>De: Simone Rocha da Silva Maciel &lt;simonerocha@tce.pe.gov.br&gt;</t>
  </si>
  <si>
    <t>Data: 18 de abril de 2016 08:52</t>
  </si>
  <si>
    <t>Assunto: Emissão de Guia de recolhimento - Prefeitura da Cidade do Recife</t>
  </si>
  <si>
    <t>Para: Cláudia Álvares da Silva Velloso Ferreira &lt;claudiaferreira@tce.pe.gov.br&gt;</t>
  </si>
  <si>
    <t>Cc: Lucienne Boudoux Jatobá de Barros &lt;lbjb@tce.pe.gov.br&gt;</t>
  </si>
  <si>
    <t>Cláudia,</t>
  </si>
  <si>
    <t>Favor emitir as GRs , conforme informações das tabelas abaixo.:</t>
  </si>
  <si>
    <t>MÊS DE COMPETÊNCIA: JANEIRO/2016</t>
  </si>
  <si>
    <t>MAT</t>
  </si>
  <si>
    <t>NOME</t>
  </si>
  <si>
    <t>VENCIMENTOS</t>
  </si>
  <si>
    <t>GRATIF. DE 1/3 DE FÉRIAS</t>
  </si>
  <si>
    <t>AUXÍLIO-SAÚDE</t>
  </si>
  <si>
    <t>CONTRIBUIÇÃO PATRONAL</t>
  </si>
  <si>
    <t>0395</t>
  </si>
  <si>
    <t>ALDEMAR SILVA DOS SANTOS</t>
  </si>
  <si>
    <t>13.317,36</t>
  </si>
  <si>
    <t>           -  </t>
  </si>
  <si>
    <t>300,00</t>
  </si>
  <si>
    <t>3.595,68</t>
  </si>
  <si>
    <t>17.213,04</t>
  </si>
  <si>
    <t>1314</t>
  </si>
  <si>
    <t>EDGARD LUIZ FRANCA PESSOA DE MELO</t>
  </si>
  <si>
    <t>18.477,16</t>
  </si>
  <si>
    <t>4.988,83</t>
  </si>
  <si>
    <t>23.765,99</t>
  </si>
  <si>
    <t>0318</t>
  </si>
  <si>
    <t>GEORGE PIERRE DE LIMA SOUZA</t>
  </si>
  <si>
    <t>23.487,43</t>
  </si>
  <si>
    <t>6.341,60</t>
  </si>
  <si>
    <t>30.129,03</t>
  </si>
  <si>
    <t>0936</t>
  </si>
  <si>
    <t>JORGE LUIS MIRANDA VIEIRA</t>
  </si>
  <si>
    <t>24.905,20</t>
  </si>
  <si>
    <t>6.724,40</t>
  </si>
  <si>
    <t>31.929,60</t>
  </si>
  <si>
    <t>0767</t>
  </si>
  <si>
    <t>MARCONI MUZZIO PIRES DE PAIVA FILHO</t>
  </si>
  <si>
    <t>19.770,57</t>
  </si>
  <si>
    <t>6.590,19</t>
  </si>
  <si>
    <t>5.338,05</t>
  </si>
  <si>
    <t>31.998,81</t>
  </si>
  <si>
    <t>0700</t>
  </si>
  <si>
    <t>SILENO SOUZA GUEDES</t>
  </si>
  <si>
    <t>22.063,95</t>
  </si>
  <si>
    <t>5.957,26</t>
  </si>
  <si>
    <t>28.321,21</t>
  </si>
  <si>
    <t>0962</t>
  </si>
  <si>
    <t>WILL FERREIRA LACERDA</t>
  </si>
  <si>
    <t>19.401,01</t>
  </si>
  <si>
    <t>5.238,27</t>
  </si>
  <si>
    <t>24.939,28</t>
  </si>
  <si>
    <t>TOTAIS</t>
  </si>
  <si>
    <t>141.422,68</t>
  </si>
  <si>
    <t>2.100,00</t>
  </si>
  <si>
    <t>38.184,09</t>
  </si>
  <si>
    <t>188.296,96</t>
  </si>
  <si>
    <t>​​</t>
  </si>
  <si>
    <t>MÊS DE COMPETÊNCIA: FEVEREIRO/2016</t>
  </si>
  <si>
    <t>                -  </t>
  </si>
  <si>
    <t>                -  </t>
  </si>
  <si>
    <t>25.408,62</t>
  </si>
  <si>
    <t>181.706,77</t>
  </si>
  <si>
    <t>MÊS DE COMPETÊNCIA: MARÇO/2016</t>
  </si>
  <si>
    <t>MAT.</t>
  </si>
  <si>
    <t>            -  </t>
  </si>
  <si>
    <t>7.829,14</t>
  </si>
  <si>
    <t>37.958,17</t>
  </si>
  <si>
    <t>189.535,91</t>
  </si>
  <si>
    <t>De: Lucienne Boudoux Jatobá de Barros &lt;lbjb@tce.pe.gov.br&gt;</t>
  </si>
  <si>
    <t>Data: 31 de maio de 2016 10:05</t>
  </si>
  <si>
    <t>Assunto: Informações de ressarcimento servidores cedidos - MAIO/16</t>
  </si>
  <si>
    <t>Para: Isaac de Oliveira Seabra &lt;isaac@tce.pe.gov.br&gt;</t>
  </si>
  <si>
    <r>
      <t>Cc: Simone Rocha da Silva Maciel &lt;</t>
    </r>
    <r>
      <rPr>
        <rFont val="Arial"/>
        <color rgb="FF0066CC"/>
        <sz val="10.0"/>
      </rPr>
      <t>simonerocha@tce.pe.gov.br</t>
    </r>
    <r>
      <rPr>
        <rFont val="Arial"/>
        <color rgb="FF333333"/>
        <sz val="10.0"/>
      </rPr>
      <t>&gt;, Cláudia Álvares da Silva Velloso Ferreira &lt;</t>
    </r>
    <r>
      <rPr>
        <rFont val="Arial"/>
        <color rgb="FF0066CC"/>
        <sz val="10.0"/>
      </rPr>
      <t>claudiaferreira@tce.pe.gov.br</t>
    </r>
    <r>
      <rPr>
        <rFont val="Arial"/>
        <color rgb="FF333333"/>
        <sz val="10.0"/>
      </rPr>
      <t>&gt;</t>
    </r>
  </si>
  <si>
    <t>Isaac/ Cláudia,</t>
  </si>
  <si>
    <t>Seguem abaixo as informações do valores a serem ressarcidos relativos ao mês de MAIO/16 pela Prefeitura Municipal de Paulista e pela PCR:</t>
  </si>
  <si>
    <t>PREFEITURA DA CIDADE DO RECIFE</t>
  </si>
  <si>
    <t>MÊS DE COMPETÊNCIA: MAIO/2016</t>
  </si>
  <si>
    <t>500,00</t>
  </si>
  <si>
    <t>17.413,04</t>
  </si>
  <si>
    <t>30.329,03</t>
  </si>
  <si>
    <t>32.129,60</t>
  </si>
  <si>
    <t>25.608,62</t>
  </si>
  <si>
    <t>28.521,21</t>
  </si>
  <si>
    <t>25.139,28</t>
  </si>
  <si>
    <t>SUBTOTAIS REFERENTES AO RESSARCIMENTO DO MÊS DE MAIO/16</t>
  </si>
  <si>
    <t>122.945,52</t>
  </si>
  <si>
    <t>3.000,00</t>
  </si>
  <si>
    <t>33.195,26</t>
  </si>
  <si>
    <t>159.140,78</t>
  </si>
  <si>
    <t> Em razão do retorno a este Tribunal do servidor Edgard Luiz França Pessoa de Melo, a partir de 16/04/2016, seguem abaixo os valores referentes ao período de 16 a 30/04/2016 para fins de abatimento do valor acima a ser ressarcido:</t>
  </si>
  <si>
    <t>DESCONTO DO RESSARCIMENTO DO MÊS DE ABRIL/16 REFERENTE DO RETORNO AO TCE DO SERVIDOR EDGARD LUIZ FRANCA PESSOA DE MELO(PROPORCIONAL AO PERÍODO DE 16/04 A 30/04/2016)</t>
  </si>
  <si>
    <t>9.238,58</t>
  </si>
  <si>
    <t>   3.079,52</t>
  </si>
  <si>
    <t>250,00</t>
  </si>
  <si>
    <t>2.494,41</t>
  </si>
  <si>
    <t>15.062,51</t>
  </si>
  <si>
    <t>SUBTOTAIS A ABATER REFERENTE AO RESSARCIMENTO A MAIOR DO MÊS DE ABRIL/16</t>
  </si>
  <si>
    <t>3.079,52</t>
  </si>
  <si>
    <t>TOTAL PARA RESSARCIMENTO AO TCE PE</t>
  </si>
  <si>
    <t>113.706,94</t>
  </si>
  <si>
    <t>-3.079,52</t>
  </si>
  <si>
    <t>2.750,00</t>
  </si>
  <si>
    <t>30.700,85</t>
  </si>
  <si>
    <t>144.078,27</t>
  </si>
  <si>
    <t>PREFEITURA MUNICIPAL DE PAULISTA</t>
  </si>
  <si>
    <t>TRIBUNAL DE CONTAS DE PERNAMBUCO</t>
  </si>
  <si>
    <t>NOME: LUCIO GUSTAVO DE PAIVA GENU DINIZ</t>
  </si>
  <si>
    <t>MATRÍCULA: 0930</t>
  </si>
  <si>
    <t>RUBRICA</t>
  </si>
  <si>
    <t>VALOR (R$)</t>
  </si>
  <si>
    <t>LEGISLAÇÃO</t>
  </si>
  <si>
    <t>VENCIMENTO BASE</t>
  </si>
  <si>
    <t>              16.603,47</t>
  </si>
  <si>
    <t>LEI Nº 12.595, DE 04 DE JUNHO DE 2004, E ALTERAÇÕES,  LEI Nº 15.294, DE 23 DE MAIO DE 2014 E LEI Nº 15.485, DE 20 DE ABRIL DE 2015.</t>
  </si>
  <si>
    <t>GRATIFICAÇÃO DE INCENTIVO</t>
  </si>
  <si>
    <t>                8.301,73</t>
  </si>
  <si>
    <t>LEI Nº 12.595, DE 04 DE JUNHO DE 2004.</t>
  </si>
  <si>
    <t>                  500,00</t>
  </si>
  <si>
    <t>LEI Nº  15.295, DE 23 DE MAIO DE 2014, RESOLUÇÃO TC Nº 05/2014 E RESOLUÇÃO TC Nº  09/2016.</t>
  </si>
  <si>
    <t>                25.405,20</t>
  </si>
  <si>
    <t>FUNAFIN PATRONAL (27%)</t>
  </si>
  <si>
    <t>                  6.724,40</t>
  </si>
  <si>
    <t>LEI COMPLEMENTAR Nº 147, DE 03 DE DEZEMBRO DE 2009.</t>
  </si>
  <si>
    <t>                32.129,60</t>
  </si>
  <si>
    <t>Data: 31 de maio de 2016 09:53</t>
  </si>
  <si>
    <t>Assunto: Re: RESSARCIMENTO SERVIDORES DO GOVERNO DO ESTADO DE PE - JANEIRO A ABRIL/16</t>
  </si>
  <si>
    <r>
      <t>Para: Isaac de Oliveira Seabra &lt;</t>
    </r>
    <r>
      <rPr>
        <rFont val="Arial"/>
        <color rgb="FF0066CC"/>
        <sz val="10.0"/>
      </rPr>
      <t>isaac@tce.pe.gov.br</t>
    </r>
    <r>
      <rPr>
        <rFont val="Arial"/>
        <color rgb="FF333333"/>
        <sz val="10.0"/>
      </rPr>
      <t>&gt;, Cláudia Álvares da Silva Velloso Ferreira &lt;</t>
    </r>
    <r>
      <rPr>
        <rFont val="Arial"/>
        <color rgb="FF0066CC"/>
        <sz val="10.0"/>
      </rPr>
      <t>claudiaferreira@tce.pe.gov.br</t>
    </r>
    <r>
      <rPr>
        <rFont val="Arial"/>
        <color rgb="FF333333"/>
        <sz val="10.0"/>
      </rPr>
      <t>&gt;</t>
    </r>
  </si>
  <si>
    <r>
      <t>Cc: Breno César Spindola Correia &lt;</t>
    </r>
    <r>
      <rPr>
        <rFont val="Arial"/>
        <color rgb="FF0066CC"/>
        <sz val="10.0"/>
      </rPr>
      <t>bspindola@tce.pe.gov.br</t>
    </r>
    <r>
      <rPr>
        <rFont val="Arial"/>
        <color rgb="FF333333"/>
        <sz val="10.0"/>
      </rPr>
      <t>&gt;, Simone Rocha da Silva Maciel &lt;</t>
    </r>
    <r>
      <rPr>
        <rFont val="Arial"/>
        <color rgb="FF0066CC"/>
        <sz val="10.0"/>
      </rPr>
      <t>simonerocha@tce.pe.gov.br</t>
    </r>
    <r>
      <rPr>
        <rFont val="Arial"/>
        <color rgb="FF333333"/>
        <sz val="10.0"/>
      </rPr>
      <t>&gt;</t>
    </r>
  </si>
  <si>
    <t>Isaac / Claudia,</t>
  </si>
  <si>
    <t>Seguem as informações dos valores a serem ressarcidos relativos aos servidores cedidos ao Governo do Estado de PE do mês de MAIO/16, bem como os valores relativos ao mês de ABRIL/16 com um ajuste para o servidor Luis Eduardo Cavalcanti Antunes, para o qual foi informado valor a maior na planilha anteriormente enviada.</t>
  </si>
  <si>
    <t>MÊS DE COMPETÊNCIA: ABRIL/2016</t>
  </si>
  <si>
    <t>0310</t>
  </si>
  <si>
    <t>ADAILTON FEITOSA FILHO</t>
  </si>
  <si>
    <t>22.497,80</t>
  </si>
  <si>
    <t>7.499,26</t>
  </si>
  <si>
    <t>7.060,62</t>
  </si>
  <si>
    <t>37.557,68</t>
  </si>
  <si>
    <t>0268</t>
  </si>
  <si>
    <t>ANALÚCIA MOTA VIANNA CABRAL</t>
  </si>
  <si>
    <t>28.242,52</t>
  </si>
  <si>
    <t>               -  </t>
  </si>
  <si>
    <t>7.625,48</t>
  </si>
  <si>
    <t>36.368,00</t>
  </si>
  <si>
    <t>0335</t>
  </si>
  <si>
    <t>BRENO JOSÉ BARACUHY DE MELO</t>
  </si>
  <si>
    <t>29.587,40</t>
  </si>
  <si>
    <t>          -  </t>
  </si>
  <si>
    <t>7.988,59</t>
  </si>
  <si>
    <t>37.575,99</t>
  </si>
  <si>
    <t>0772</t>
  </si>
  <si>
    <t>FLÁVIO GUIMARÃES FIGUEIREDO LIMA</t>
  </si>
  <si>
    <t>0715</t>
  </si>
  <si>
    <t>GUSTAVO HENRIQUE FERREIRA GONÇALVES DE ABREU</t>
  </si>
  <si>
    <t>21.352,21</t>
  </si>
  <si>
    <t>5.765,09</t>
  </si>
  <si>
    <t>27.617,30</t>
  </si>
  <si>
    <t>0846</t>
  </si>
  <si>
    <t>JOSE COSTA DE MORAIS JUNIOR</t>
  </si>
  <si>
    <t>0733</t>
  </si>
  <si>
    <t>JOSÉ FRANCISCO DE M. CAVALCANTI NETO</t>
  </si>
  <si>
    <t>26.150,46</t>
  </si>
  <si>
    <t>33.711,08</t>
  </si>
  <si>
    <t>0387</t>
  </si>
  <si>
    <t>LUIS EDUARDO CAVALCANTI ANTUNES</t>
  </si>
  <si>
    <t>          -  </t>
  </si>
  <si>
    <t>33.211,08</t>
  </si>
  <si>
    <t>0399</t>
  </si>
  <si>
    <t>MILTON COELHO DA SILVA NETO</t>
  </si>
  <si>
    <t>0275</t>
  </si>
  <si>
    <t>NELSON BARRETO COUTINHO BEZERRA DE MENEZES</t>
  </si>
  <si>
    <t>0954</t>
  </si>
  <si>
    <t>RUY BEZERRA DE OLIVEIRA FILHO</t>
  </si>
  <si>
    <t>1312</t>
  </si>
  <si>
    <t>VICENTE FELIX PERRUSI JÚNIOR</t>
  </si>
  <si>
    <t>23.965,99</t>
  </si>
  <si>
    <t>294.971,03</t>
  </si>
  <si>
    <t>5.000,00</t>
  </si>
  <si>
    <t>80.628,35</t>
  </si>
  <si>
    <t>388.098,64</t>
  </si>
  <si>
    <t>30.058,42</t>
  </si>
  <si>
    <t>  1.000,00</t>
  </si>
  <si>
    <t>38.575,99</t>
  </si>
  <si>
    <t>          -  </t>
  </si>
  <si>
    <t>6.000,00</t>
  </si>
  <si>
    <t>381.599,38</t>
  </si>
  <si>
    <t>Data: 11 de maio de 2016 09:45</t>
  </si>
  <si>
    <t>Assunto: RESSARCIMENTO SERVIDORES DO GOVERNO DO ESTADO DE PE - JANEIRO A ABRIL/16</t>
  </si>
  <si>
    <r>
      <t>Para: Isaac de Oliveira Seabra &lt;</t>
    </r>
    <r>
      <rPr>
        <rFont val="Arial"/>
        <color rgb="FF0066CC"/>
        <sz val="12.0"/>
      </rPr>
      <t>isaac@tce.pe.gov.br</t>
    </r>
    <r>
      <rPr>
        <rFont val="Arial"/>
        <color rgb="FF000000"/>
        <sz val="12.0"/>
      </rPr>
      <t>&gt;, Cláudia Álvares da Silva Velloso Ferreira &lt;</t>
    </r>
    <r>
      <rPr>
        <rFont val="Arial"/>
        <color rgb="FF0066CC"/>
        <sz val="12.0"/>
      </rPr>
      <t>claudiaferreira@tce.pe.gov.br</t>
    </r>
    <r>
      <rPr>
        <rFont val="Arial"/>
        <color rgb="FF000000"/>
        <sz val="12.0"/>
      </rPr>
      <t>&gt;</t>
    </r>
  </si>
  <si>
    <r>
      <t>Cc: Breno César Spindola Correia &lt;</t>
    </r>
    <r>
      <rPr>
        <rFont val="Arial"/>
        <color rgb="FF0066CC"/>
        <sz val="12.0"/>
      </rPr>
      <t>bspindola@tce.pe.gov.br</t>
    </r>
    <r>
      <rPr>
        <rFont val="Arial"/>
        <color rgb="FF000000"/>
        <sz val="12.0"/>
      </rPr>
      <t>&gt;, Simone Rocha da Silva Maciel &lt;</t>
    </r>
    <r>
      <rPr>
        <rFont val="Arial"/>
        <color rgb="FF0066CC"/>
        <sz val="12.0"/>
      </rPr>
      <t>simonerocha@tce.pe.gov.br</t>
    </r>
    <r>
      <rPr>
        <rFont val="Arial"/>
        <color rgb="FF000000"/>
        <sz val="12.0"/>
      </rPr>
      <t>&gt;</t>
    </r>
  </si>
  <si>
    <t>Seguem as informações dos valores a serem ressarcidos relativos aos servidores cedidos ao Governo do Estado de PE dos meses de JANEIRO a ABRIL/16.</t>
  </si>
  <si>
    <t>Peço que informe, caso precise de mais alguma informação.</t>
  </si>
  <si>
    <t>29.858,42</t>
  </si>
  <si>
    <t>36.168,00</t>
  </si>
  <si>
    <t>37.875,99</t>
  </si>
  <si>
    <t>7.117,40</t>
  </si>
  <si>
    <t>34.534,70</t>
  </si>
  <si>
    <t>27.417,30</t>
  </si>
  <si>
    <t>33.511,08</t>
  </si>
  <si>
    <t>9.414,17</t>
  </si>
  <si>
    <t>45.582,17</t>
  </si>
  <si>
    <t>8.301,73</t>
  </si>
  <si>
    <t>40.231,33</t>
  </si>
  <si>
    <t>34.247,47</t>
  </si>
  <si>
    <t>3.600,00</t>
  </si>
  <si>
    <t>413.446,85</t>
  </si>
  <si>
    <t>8.716,82</t>
  </si>
  <si>
    <t>42.227,90</t>
  </si>
  <si>
    <t>387.916,20</t>
  </si>
  <si>
    <t>379.199,38</t>
  </si>
  <si>
    <t>5.500,00</t>
  </si>
  <si>
    <t>388.598,64</t>
  </si>
  <si>
    <t>TRIBUNAL DE CONTAS</t>
  </si>
  <si>
    <t>Obrigações Patronais</t>
  </si>
  <si>
    <t>Vencim Vant e outras Desp Var</t>
  </si>
  <si>
    <t>Apos Res e Reforma</t>
  </si>
  <si>
    <t>1º Nível</t>
  </si>
  <si>
    <t>2º Nível</t>
  </si>
  <si>
    <t>Maio</t>
  </si>
  <si>
    <t>mai18 a abr19</t>
  </si>
  <si>
    <t>janeiro</t>
  </si>
  <si>
    <t>jan a dez 2018</t>
  </si>
  <si>
    <t>Categoria Econômica</t>
  </si>
  <si>
    <t>Grupo de Despesa</t>
  </si>
  <si>
    <t>TOTAL LIQUIDADO</t>
  </si>
  <si>
    <t>31 - pessoal</t>
  </si>
  <si>
    <t>33 - out desp corr</t>
  </si>
  <si>
    <t>44 - investimen</t>
  </si>
  <si>
    <t>junho</t>
  </si>
  <si>
    <t>fevereiro</t>
  </si>
  <si>
    <t>julho</t>
  </si>
  <si>
    <t>março</t>
  </si>
  <si>
    <t>agosto</t>
  </si>
  <si>
    <t>abril</t>
  </si>
  <si>
    <t>setembro</t>
  </si>
  <si>
    <t>maio</t>
  </si>
  <si>
    <t>outubro</t>
  </si>
  <si>
    <t>novembro</t>
  </si>
  <si>
    <t>dezembro</t>
  </si>
  <si>
    <t>Cód.</t>
  </si>
  <si>
    <t>Nome</t>
  </si>
  <si>
    <t>VENCIMENTO-BASE</t>
  </si>
  <si>
    <t>R</t>
  </si>
  <si>
    <t>SUBSÍDIO</t>
  </si>
  <si>
    <t>REPRESENTAÇÃO TC-CCS-2 - INSS</t>
  </si>
  <si>
    <t>I</t>
  </si>
  <si>
    <t>COMPLEM. SUBSÍDIO CONSELHEIRO</t>
  </si>
  <si>
    <t>GRATIFICAÇÃO 1/3 DE FÉRIAS</t>
  </si>
  <si>
    <t>VERBA INDENIZATÓRIA DE CAMPO</t>
  </si>
  <si>
    <t>INDENIZAÇÃO PRESIDENTE</t>
  </si>
  <si>
    <t>INDENIZAÇÃO VICE-PRESIDENTE</t>
  </si>
  <si>
    <t>ADICIONAL DE QUALIFICAÇÃO</t>
  </si>
  <si>
    <t>INDENIZ. F.GRATIF. TC-FGG C/IR</t>
  </si>
  <si>
    <t>INDENIZ. F.GRATIF. TC-FGA-1 C/IR</t>
  </si>
  <si>
    <t>INDENIZ. F.GRATIF. TC-FGA-2 C/IR</t>
  </si>
  <si>
    <t>INDENIZ. F.GRATIF. TC-FGA-3 C/IR</t>
  </si>
  <si>
    <t>INDENIZ. F.GRATIF. TC-FGS-1 C/IR</t>
  </si>
  <si>
    <t>INDENIZ. F.GRATIF. TC-FGS-2 C/IR</t>
  </si>
  <si>
    <t>INDENIZ. F.GRATIF. TC-FAG-1 C/IR</t>
  </si>
  <si>
    <t>INDENIZ. F.GRATIF. TC-FAG-2 C/IR</t>
  </si>
  <si>
    <t>INDENIZ. F.GRATIF. TC-FAG-3 C/IR</t>
  </si>
  <si>
    <t>INDENIZ. COMISSÃO LICITAÇÃO C/IR</t>
  </si>
  <si>
    <t>INDENIZ. GRUPO DE TRABALHO C/IR</t>
  </si>
  <si>
    <t>INDEN.ELAB.FOLHA PAGAMENTO C/IR</t>
  </si>
  <si>
    <t>INDEN. COM. PROC. ADM. DISC. C/IR</t>
  </si>
  <si>
    <t>REPRESENTAÇÃO TC-CCS-5 - INSS</t>
  </si>
  <si>
    <t>GRATIFICAÇÃO FUNÇÃO POLICIAL</t>
  </si>
  <si>
    <t>REPRESENTAÇÃO TC-CST - INSS</t>
  </si>
  <si>
    <t>REPRESENTAÇÃO TC-CCS-1 - INSS</t>
  </si>
  <si>
    <t>01 QUINQÜÊNIO</t>
  </si>
  <si>
    <t>02 QUINQÜÊNIOS</t>
  </si>
  <si>
    <t>03 QUINQÜÊNIOS</t>
  </si>
  <si>
    <t>04 QUINQÜÊNIOS</t>
  </si>
  <si>
    <t>05 QUINQÜÊNIOS</t>
  </si>
  <si>
    <t>INDENIZAÇÃO CORREGEDOR GERAL</t>
  </si>
  <si>
    <t>GRATIFICAÇÃO 2/3 DE FÉRIAS</t>
  </si>
  <si>
    <t>ADIANT. DE GRAT. DE FÉRIAS</t>
  </si>
  <si>
    <t>adiant</t>
  </si>
  <si>
    <t>DIF. VANT. INDENIZATÓRIAS C/ IR</t>
  </si>
  <si>
    <t>AD. P/ COBERT. LIQ. NEGATIVO</t>
  </si>
  <si>
    <t>ADIANT. DE INDENIZ. DE FÉRIAS</t>
  </si>
  <si>
    <t>INDENIZAÇÃO DE 1/3 DE FÉRIAS</t>
  </si>
  <si>
    <t>INDENIZAÇÃO DE 2/3 DE FÉRIAS</t>
  </si>
  <si>
    <t>DIFER. DE VANT. INDENIZATÓRIAS</t>
  </si>
  <si>
    <t>AD. DE INDENIZ. DE FÉRIAS C/ IR</t>
  </si>
  <si>
    <t>INDENIZ. DE 1/3 DE FÉRIAS C/ IR</t>
  </si>
  <si>
    <t>REPRESENTAÇÃO TC-CCS-3 - INSS</t>
  </si>
  <si>
    <t>GRATIFICAÇÃO JORNADA EXTRA</t>
  </si>
  <si>
    <t>INDENIZAÇÃO OUVIDOR</t>
  </si>
  <si>
    <t>INDENIZAÇÃO DIRETOR ECPBG</t>
  </si>
  <si>
    <t>127 REPRESENTAÇÃO DE PROCURADOR</t>
  </si>
  <si>
    <t>128 PRODUTIVIDADE DE PROCURADOR</t>
  </si>
  <si>
    <t>129 GRAT.AD.T.S.APÓS EC19/98</t>
  </si>
  <si>
    <t>134 RECOLHIMENTO EFETUADO</t>
  </si>
  <si>
    <t>136 ABONO DE PERMANÊNCIA</t>
  </si>
  <si>
    <t>141 AUXÍLIO-ALIMENTAÇÃO</t>
  </si>
  <si>
    <t>154 INDENIZAÇÃO PROCURADOR GERAL</t>
  </si>
  <si>
    <t>166 PAR. AUT. VANTAGEM PESSOAL</t>
  </si>
  <si>
    <t>169 INDENIZAÇÃO PRESIDENTE CÂMARA</t>
  </si>
  <si>
    <t>179 INDENIZAÇÃO AUDITOR GERAL</t>
  </si>
  <si>
    <t>180 RRA ANOS ANT.-AB. PERMANÊNCIA</t>
  </si>
  <si>
    <t>186 PRÊMIO MERECER</t>
  </si>
  <si>
    <t>187 INDENIZ. FÉRIAS - RES.133/11 CNJ</t>
  </si>
  <si>
    <t>188 AUXÍLIO-SAÚDE</t>
  </si>
  <si>
    <t>195 INDENIZAÇÃO PROCURADOR CHEFE</t>
  </si>
  <si>
    <t>197 REPRESENTAÇÃO TC-CCS-6 - INSS</t>
  </si>
  <si>
    <t>199 AUXÍLIO-PERMANÊNCIA</t>
  </si>
  <si>
    <t>200 DIF. AUXÍLIO-PERMANÊNCIA</t>
  </si>
  <si>
    <t>201 AUXÍLIO POR LOCAL DE EXERCÍCIO</t>
  </si>
  <si>
    <t>222 INDENIZ. REP. TC-CCS-1 C/IR</t>
  </si>
  <si>
    <t>223 INDENIZ. REP. TC-CCS-2 C/IR</t>
  </si>
  <si>
    <t>224 INDENIZ. REP. TC-CCS-3 C/IR</t>
  </si>
  <si>
    <t>225 INDENIZ. REP. TC-CCS-4 C/IR</t>
  </si>
  <si>
    <t>226 INDENIZ. REP. TC-CCS-5 C/IR</t>
  </si>
  <si>
    <t>227 INDENIZ. REP. TC-CCS-6 C/IR</t>
  </si>
  <si>
    <t>qiunquenios</t>
  </si>
  <si>
    <t>Descrição</t>
  </si>
  <si>
    <t>Conta corrente</t>
  </si>
  <si>
    <t>TP</t>
  </si>
  <si>
    <t>3.1.2.9.2.08.08</t>
  </si>
  <si>
    <t>SASSEPE - AUXÍLIO SAÚDE</t>
  </si>
  <si>
    <t>3.1.3.1.1.08.08</t>
  </si>
  <si>
    <t>3.1.3.1.1.08.11</t>
  </si>
  <si>
    <t>TCE - AUXÍLIO PERMANÊNCIA - LEI 15.795/2016</t>
  </si>
  <si>
    <t>3.1.3.1.1.08.12</t>
  </si>
  <si>
    <t>TCE - AUXÍLIO POR LOCALIDADE DE EXERCÍCIO - LEI 15.795/2016</t>
  </si>
  <si>
    <t>3.1.3.1.1.46.01</t>
  </si>
  <si>
    <t>AUXÍLIO ALIMENTAÇÃO/REFEIÇÃO</t>
  </si>
  <si>
    <t>3.1.3.1.1.93.33</t>
  </si>
  <si>
    <t>TCE - PARC. INDENIZATÓRIA REF. CARGOS COM. REF. LEI 15.884/16</t>
  </si>
  <si>
    <t>3.1.3.1.1.93.34</t>
  </si>
  <si>
    <t>TCE - PARC. INDENIZATÓRIA REF. FUN. GRAT - LEI 15.884/16</t>
  </si>
  <si>
    <t>3.1.3.1.1.93.35</t>
  </si>
  <si>
    <t>TCE - PARC. INDENIZATÓRIA REF. CARGOS REP. MEMBROS. REF. LEI 15.884/16</t>
  </si>
  <si>
    <t>3.1.3.1.1.93.40</t>
  </si>
  <si>
    <t>TCE - INDENIZAÇÃO DE CAMPO REF. LEI 16.039/17</t>
  </si>
  <si>
    <t>PESSOAL REQUISITADO DE OUTROS ÓRGÃOS</t>
  </si>
  <si>
    <t>3.3.1.1.1.30.01</t>
  </si>
  <si>
    <t>COMBUSTIVEIS E LUBRIFICANTES AUTOMOTIVEIS........</t>
  </si>
  <si>
    <t>3.3.1.1.1.30.07</t>
  </si>
  <si>
    <t>GENEROS DE ALIMENTACAO</t>
  </si>
  <si>
    <t>3.3.1.1.1.30.16</t>
  </si>
  <si>
    <t>MATERIAL DE EXPEDIENTE</t>
  </si>
  <si>
    <t>3.3.1.1.1.30.17</t>
  </si>
  <si>
    <t>MATERIAL DE PROCESSAMENTO DE DADOS</t>
  </si>
  <si>
    <t>3.3.1.1.1.30.21</t>
  </si>
  <si>
    <t>MATERIAL DE COPA E COZINHA</t>
  </si>
  <si>
    <t>3.3.1.1.1.30.22</t>
  </si>
  <si>
    <t>MATERIAL DE LIMPEZA E PROD. DE HIGIENIZACAO</t>
  </si>
  <si>
    <t>3.3.1.1.1.30.24</t>
  </si>
  <si>
    <t>MATERIAL P/ MANUT.DE BENS IMOVEIS/INSTALACOES</t>
  </si>
  <si>
    <t>3.3.1.1.1.30.26</t>
  </si>
  <si>
    <t>MATERIAL ELETRICO E ELETRONICO</t>
  </si>
  <si>
    <t>3.3.1.1.1.30.28</t>
  </si>
  <si>
    <t>MATERIAL DE PROTECAO E SEGURANCA</t>
  </si>
  <si>
    <t>3.3.1.1.1.30.39</t>
  </si>
  <si>
    <t>MATERIAL P/ MANUTENCAO DE VEICULOS</t>
  </si>
  <si>
    <t>3.3.2.1.1.14.01</t>
  </si>
  <si>
    <t>DIÁRIAS - PESSOAL CIVIL - DENTRO DO ESTADO</t>
  </si>
  <si>
    <t>3.3.2.1.1.14.02</t>
  </si>
  <si>
    <t>DIÁRIAS - PESSOAL CIVIL - FORA DO ESTADO/NO PAÍS</t>
  </si>
  <si>
    <t>3.3.2.1.1.99.01</t>
  </si>
  <si>
    <t>DIÁRIAS</t>
  </si>
  <si>
    <t>3.3.2.3.1.37.01</t>
  </si>
  <si>
    <t>LOCACAO DE MAO-DE-OBRA DE APOIO ADMINISTRATIVO, TECNICO E OPERACIONAL</t>
  </si>
  <si>
    <t>3.3.2.3.1.37.02</t>
  </si>
  <si>
    <t>LOCACAO DE MAO-DE-OBRA DE LIMPEZA E CONSERVACAO</t>
  </si>
  <si>
    <t>3.3.2.3.1.37.04</t>
  </si>
  <si>
    <t>LOCACAO DE MAO-DE-OBRA DE MANUTENCAO E CONSERVACAO DE BENS IMOVEIS</t>
  </si>
  <si>
    <t>3.3.2.3.1.37.05</t>
  </si>
  <si>
    <t>LOCACAO DE MAO-DE-OBRA DE SERVICOS DE COPA E COZINHA</t>
  </si>
  <si>
    <t>3.3.2.3.1.37.06</t>
  </si>
  <si>
    <t>LOCACAO DE MAO-DE-OBRA DE MANUTENCAO E CONSERVACAO DE BENS MOVEIS</t>
  </si>
  <si>
    <t>3.3.2.3.1.39.01</t>
  </si>
  <si>
    <t>ASSINATURAS DE PERIODICOS E ANUIDADES</t>
  </si>
  <si>
    <t>3.3.2.3.1.39.05</t>
  </si>
  <si>
    <t>SERVIÇOS TÉCNICOS PROFISSIONAIS</t>
  </si>
  <si>
    <t>3.3.2.3.1.39.12</t>
  </si>
  <si>
    <t>LOCAÇÃO DE MÁQUINAS E EQUIPAMENTOS</t>
  </si>
  <si>
    <t>3.3.2.3.1.39.16</t>
  </si>
  <si>
    <t>MANUT. CONSERV. BENS IMOVEIS</t>
  </si>
  <si>
    <t>3.3.2.3.1.39.17</t>
  </si>
  <si>
    <t>MANUT. CONSERV. MAQUINAS E EQUIPAMENTOS</t>
  </si>
  <si>
    <t>3.3.2.3.1.39.19</t>
  </si>
  <si>
    <t>MANUT. CONSERV. VEICULOS</t>
  </si>
  <si>
    <t>3.3.2.3.1.39.25</t>
  </si>
  <si>
    <t>ESTAGIÁRIOS (PAGAMENTO FEITO POR MEIO DE AGENTE INTERMEDIÁRIO)</t>
  </si>
  <si>
    <t>3.3.2.3.1.39.44</t>
  </si>
  <si>
    <t>SERVICOS DE ÁGUA E ESGOTO</t>
  </si>
  <si>
    <t>3.3.2.3.1.39.48</t>
  </si>
  <si>
    <t>SERVIÇOS DE SELEÇÃO, CAPACITAÇÃO, TREINAMENTO E DE MONITORES</t>
  </si>
  <si>
    <t>3.3.2.3.1.39.69</t>
  </si>
  <si>
    <t>SEGUROS EM GERAL</t>
  </si>
  <si>
    <t>3.3.2.3.1.39.81</t>
  </si>
  <si>
    <t>SERVIÇOS BANCÁRIOS</t>
  </si>
  <si>
    <t>3.3.2.3.1.39.90</t>
  </si>
  <si>
    <t>PUBLICIDADE LEGAL (DIVULGAÇÃO OFICIAL)</t>
  </si>
  <si>
    <t>3.3.2.3.1.39.92</t>
  </si>
  <si>
    <t>PUBLICIDADE E PROPAGANDA (INSTITUCIONAL)</t>
  </si>
  <si>
    <t>3.3.2.3.1.40.01</t>
  </si>
  <si>
    <t>LOCAÇÃO DE SOFTWARE (LICENÇAS)</t>
  </si>
  <si>
    <t>3.3.2.3.1.40.02</t>
  </si>
  <si>
    <t>LOCAÇÃO DE EQUIPAMENTOS DE TECNOLOGIA DA INFORMAÇÃO E COMUNICAÇÃO</t>
  </si>
  <si>
    <t>3.3.2.3.1.40.04</t>
  </si>
  <si>
    <t>DESENVOLVIMENTO E MANUTENÇÃO DE SOFTWARE</t>
  </si>
  <si>
    <t>3.3.2.3.1.40.12</t>
  </si>
  <si>
    <t>TELEPROCESSAMENTO</t>
  </si>
  <si>
    <t>3.3.2.3.1.40.14</t>
  </si>
  <si>
    <t>DIGITALIZAÇÃO</t>
  </si>
  <si>
    <t>3.3.2.3.1.92.37</t>
  </si>
  <si>
    <t>DEA - LOCAÇÃO DE MÃO-DE-OBRA</t>
  </si>
  <si>
    <t>3.3.2.3.1.92.39</t>
  </si>
  <si>
    <t>DEA - SERVIÇOS DE TERCEIROS PESSOA JURÍDICA</t>
  </si>
  <si>
    <t>3.3.2.3.1.92.40</t>
  </si>
  <si>
    <t>DEA - SERVIÇOS DE TECNOLOGIA DA INFORMAÇÃO E COMUNICAÇÃO - PESSOA JURÍDICA</t>
  </si>
  <si>
    <t>3.3.2.3.1.99.01</t>
  </si>
  <si>
    <t>SERVIÇOS PRESTADOS POR PESSOA JURÍDICA</t>
  </si>
  <si>
    <t>3.3.3.1.1.02.00</t>
  </si>
  <si>
    <t>DEPRECIACAO DE BENS MÓVEIS</t>
  </si>
  <si>
    <t>3.7.1.2.1.47.11</t>
  </si>
  <si>
    <t>C.I.M., TAXA DE LIMPEZA URBANA, TAXA DE VIGILÂNCIA SANITÁRIA, TSD (PREF.)</t>
  </si>
  <si>
    <t>3.7.1.2.1.99.01</t>
  </si>
  <si>
    <t>TAXAS</t>
  </si>
  <si>
    <t>3.7.2.9.1.47.14</t>
  </si>
  <si>
    <t>SEGURO DPVAT - CONTRIBUIÇÃO PARAFISCAL</t>
  </si>
  <si>
    <t>3.9.9.9.1.93.05</t>
  </si>
  <si>
    <t>RESSARCIMENTO DE TRANSPORTE</t>
  </si>
  <si>
    <t>3.9.9.9.1.99.01</t>
  </si>
  <si>
    <t>VPD - DECORRENTES FATOS GERADORES DIVERSOS</t>
  </si>
  <si>
    <t>3.1.1.1.1.11.00</t>
  </si>
  <si>
    <t>VENCIMENTOS E VANTAGENS FIXAS - PESSOAL CIVIL - RPPS</t>
  </si>
  <si>
    <t>SALÁRIOS E VENCIMENTOS - PC</t>
  </si>
  <si>
    <t>3.1.1.1.1.11.05</t>
  </si>
  <si>
    <t>INCORPORACOES - PC</t>
  </si>
  <si>
    <t>3.1.1.1.1.11.08</t>
  </si>
  <si>
    <t>ADIANTAMENTO PECUNIARIO - PC</t>
  </si>
  <si>
    <t>3.1.1.1.1.11.30</t>
  </si>
  <si>
    <t>ABONO PROVISÓRIO - PC</t>
  </si>
  <si>
    <t>GRATIFICAÇÃO POR EXERCÍCIO DE CARGOS - PC</t>
  </si>
  <si>
    <t>GRATIFICAÇÃO POR EXERCÍCIO DE FUNÇÕES - PC</t>
  </si>
  <si>
    <t>GRATIFICAÇÃO POR TEMPO DE SERVIÇO - PC</t>
  </si>
  <si>
    <t>3.1.1.1.1.11.39</t>
  </si>
  <si>
    <t>BÔNUS DE DESEMPENHO EDUCACIONAL - BDE - LEI N° 13.486/2008</t>
  </si>
  <si>
    <t>3.1.1.1.1.11.42</t>
  </si>
  <si>
    <t>FERIAS - PC</t>
  </si>
  <si>
    <t>13º SALARIO - PC</t>
  </si>
  <si>
    <t>3.1.1.1.1.11.44</t>
  </si>
  <si>
    <t>FERIAS - ABONO PECUNIARIO - PC</t>
  </si>
  <si>
    <t>FÉRIAS - ABONO CONSTITUCIONAL (1/3) - PC</t>
  </si>
  <si>
    <t>3.1.1.1.1.11.46</t>
  </si>
  <si>
    <t>FÉRIAS - PGAMENTO ANTECIPADO PC CLT</t>
  </si>
  <si>
    <t>3.1.1.1.1.11.60</t>
  </si>
  <si>
    <t>PROVISÃO DE FÉRIAS - PC</t>
  </si>
  <si>
    <t>3.1.1.1.1.11.61</t>
  </si>
  <si>
    <t>PROVISÃO 13º SALÁRIO - PC</t>
  </si>
  <si>
    <t>3.1.1.1.1.11.62</t>
  </si>
  <si>
    <t>PROVISÃO DE FÉRIAS - ABONO PECUNIÁRIO - PC</t>
  </si>
  <si>
    <t>3.1.1.1.1.11.63</t>
  </si>
  <si>
    <t>PROVISÃO DE FÉRIAS - ABONO CONSTITUCIONAL (1/3) - PC</t>
  </si>
  <si>
    <t>3.1.1.1.1.11.64</t>
  </si>
  <si>
    <t>PROVISÃO DE FÉRIAS - PAGAMENTO ANTECIPADO PC CLT</t>
  </si>
  <si>
    <t>3.1.1.1.1.11.73</t>
  </si>
  <si>
    <t>GRATIFICAÇÃO PARTICIPAÇÃO ÓRGÃOS DELIBERAÇÃO COLETIVA - PC</t>
  </si>
  <si>
    <t>SOLDOS E VENCIMENTOS - PM</t>
  </si>
  <si>
    <t>3.1.1.1.1.12.61</t>
  </si>
  <si>
    <t>PROVISÃO 13º SALÁRIO - PM</t>
  </si>
  <si>
    <t>REMUNERAÇÃO A PESSOAL ATIVO A CLASSIFICAR</t>
  </si>
  <si>
    <t>3.1.1.2.1.04.01</t>
  </si>
  <si>
    <t>VENCIMENTOS E VANTAGENS FIXAS - CONTRATO TEMPORÁRIO</t>
  </si>
  <si>
    <t>3.1.1.2.1.04.02</t>
  </si>
  <si>
    <t>DESPESAS VARIÁVEIS - CONTRATO TEMPORÁRIO</t>
  </si>
  <si>
    <t>3.1.1.2.1.04.05</t>
  </si>
  <si>
    <t>13º SALÁRIO - CONTRATO TEMPORÁRIO</t>
  </si>
  <si>
    <t>3.1.1.2.1.04.60</t>
  </si>
  <si>
    <t>PROVISÃO DE 13º SALÁRIO - CONTRATO TEMPORÁRIO</t>
  </si>
  <si>
    <t>2018LE001584</t>
  </si>
  <si>
    <t>51.1.001</t>
  </si>
  <si>
    <t>2018LE001587</t>
  </si>
  <si>
    <t>2018LE001590</t>
  </si>
  <si>
    <t>2018LE001592</t>
  </si>
  <si>
    <t>N</t>
  </si>
  <si>
    <t>2018LE001954</t>
  </si>
  <si>
    <t>2018LE001961</t>
  </si>
  <si>
    <t>2018LE001965</t>
  </si>
  <si>
    <t>2018LE001970</t>
  </si>
  <si>
    <t>2018LE002317</t>
  </si>
  <si>
    <t>2018LE002320</t>
  </si>
  <si>
    <t>2018LE002323</t>
  </si>
  <si>
    <t>2018LE002325</t>
  </si>
  <si>
    <t>2018EC000397</t>
  </si>
  <si>
    <t>51.6.001</t>
  </si>
  <si>
    <t>2018LE002334</t>
  </si>
  <si>
    <t>2018LE002788</t>
  </si>
  <si>
    <t>2018LE002791</t>
  </si>
  <si>
    <t>2018LE002794</t>
  </si>
  <si>
    <t>2018LE002796</t>
  </si>
  <si>
    <t>2018LE003277</t>
  </si>
  <si>
    <t>2018LE003281</t>
  </si>
  <si>
    <t>2018LE003287</t>
  </si>
  <si>
    <t>2018LE003289</t>
  </si>
  <si>
    <t>2018LE003710</t>
  </si>
  <si>
    <t>2018LE003714</t>
  </si>
  <si>
    <t>2018LE003718</t>
  </si>
  <si>
    <t>2018LE003729</t>
  </si>
  <si>
    <t>2018LE004165</t>
  </si>
  <si>
    <t>2018LE004168</t>
  </si>
  <si>
    <t>2018LE004175</t>
  </si>
  <si>
    <t>2018LE004189</t>
  </si>
  <si>
    <t>2018LE004648</t>
  </si>
  <si>
    <t>2018LE004656</t>
  </si>
  <si>
    <t>2018LE004680</t>
  </si>
  <si>
    <t>2018LE004685</t>
  </si>
  <si>
    <t>2018LE004717</t>
  </si>
  <si>
    <t>2018LE004725</t>
  </si>
  <si>
    <t>2018LE004727</t>
  </si>
  <si>
    <t>2018LE004736</t>
  </si>
  <si>
    <t>2018EC000289</t>
  </si>
  <si>
    <t>2018EC000330</t>
  </si>
  <si>
    <t>2018EC000333</t>
  </si>
  <si>
    <t>2018EC000334</t>
  </si>
  <si>
    <t>2018EC000419</t>
  </si>
  <si>
    <t>2018EC000492</t>
  </si>
  <si>
    <t>2018EC000494</t>
  </si>
  <si>
    <t>2018EC000553</t>
  </si>
  <si>
    <t>2018EC000555</t>
  </si>
  <si>
    <t>2018EC000556</t>
  </si>
  <si>
    <t>2018EC000636</t>
  </si>
  <si>
    <t>2018EC000683</t>
  </si>
  <si>
    <t>2018EC000711</t>
  </si>
  <si>
    <t>2018EC000764</t>
  </si>
  <si>
    <t>2018EC000766</t>
  </si>
  <si>
    <t>2018EC000768</t>
  </si>
  <si>
    <t>2018EC000791</t>
  </si>
  <si>
    <t>2019LE000001</t>
  </si>
  <si>
    <t>2019EC000005</t>
  </si>
  <si>
    <t>2019LE000004</t>
  </si>
  <si>
    <t>2019LE000007</t>
  </si>
  <si>
    <t>2019EC000008</t>
  </si>
  <si>
    <t>2019LE000009</t>
  </si>
  <si>
    <t>2019EC000014</t>
  </si>
  <si>
    <t>2019EC000023</t>
  </si>
  <si>
    <t>2019LE000311</t>
  </si>
  <si>
    <t>2019EC000049</t>
  </si>
  <si>
    <t>2019LE000315</t>
  </si>
  <si>
    <t>2019EC000051</t>
  </si>
  <si>
    <t>2019EC000091</t>
  </si>
  <si>
    <t>2019EC000093</t>
  </si>
  <si>
    <t>2019LE000674</t>
  </si>
  <si>
    <t>2019LE000679</t>
  </si>
  <si>
    <t>2019LE000682</t>
  </si>
  <si>
    <t>2019LE000684</t>
  </si>
  <si>
    <t>2019EC000139</t>
  </si>
  <si>
    <t>2019LE001057</t>
  </si>
  <si>
    <t>2019EC000169</t>
  </si>
  <si>
    <t>2019LE001060</t>
  </si>
  <si>
    <t>2019LE001063</t>
  </si>
  <si>
    <t>2019EC000197</t>
  </si>
  <si>
    <t>2019LE000318</t>
  </si>
  <si>
    <t>2019LE000320</t>
  </si>
  <si>
    <t>2019EC000055</t>
  </si>
  <si>
    <t>2019LE000321</t>
  </si>
  <si>
    <t>2019LE001066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</si>
</sst>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6">
    <numFmt numFmtId="164" formatCode="#,##0.00;\(#,##0.00\)"/>
    <numFmt numFmtId="165" formatCode="&quot;R$&quot;\ #,##0.00;[Red]\-&quot;R$&quot;\ #,##0.00"/>
    <numFmt numFmtId="166" formatCode="_(* #,##0.00_);_(* \(#,##0.00\);_(* &quot;-&quot;??_);_(@_)"/>
    <numFmt numFmtId="167" formatCode="0.0000"/>
    <numFmt numFmtId="168" formatCode="_-* #,##0.00_-;\-* #,##0.00_-;_-* &quot;-&quot;??_-;_-@"/>
    <numFmt numFmtId="169" formatCode="mmm&quot;/&quot;yy"/>
    <numFmt numFmtId="170" formatCode="[$R$ -416]#,##0.00"/>
    <numFmt numFmtId="171" formatCode="0.0000%"/>
    <numFmt numFmtId="172" formatCode="mm/yyyy"/>
    <numFmt numFmtId="173" formatCode="#,##0.0000"/>
    <numFmt numFmtId="174" formatCode="#,##0.00_ ;[Red]\-#,##0.00\ "/>
    <numFmt numFmtId="175" formatCode="mmm/d"/>
    <numFmt numFmtId="176" formatCode="mmmm\ d"/>
    <numFmt numFmtId="177" formatCode="dd/mm/yyyy\ hh:mm:ss"/>
    <numFmt numFmtId="178" formatCode="d/m/yyyy"/>
    <numFmt numFmtId="179" formatCode="d/m/yyyy\ hh:mm:ss"/>
  </numFmts>
  <fonts count="70">
    <font>
      <sz val="10.0"/>
      <color rgb="FF000000"/>
      <name val="Arial"/>
    </font>
    <font>
      <sz val="10.0"/>
      <color rgb="FF000000"/>
      <name val="Helvetica Neue"/>
    </font>
    <font>
      <sz val="10.0"/>
      <color rgb="FF222222"/>
      <name val="Arial"/>
    </font>
    <font>
      <b/>
      <sz val="11.0"/>
      <color rgb="FF000000"/>
      <name val="Helvetica Neue"/>
    </font>
    <font>
      <sz val="10.0"/>
      <color theme="1"/>
      <name val="Arial"/>
    </font>
    <font>
      <sz val="8.0"/>
      <color rgb="FF000000"/>
      <name val="Arial"/>
    </font>
    <font/>
    <font>
      <sz val="9.0"/>
      <color theme="1"/>
      <name val="Arial"/>
    </font>
    <font>
      <b/>
      <sz val="8.0"/>
      <color rgb="FF000000"/>
      <name val="Arial"/>
    </font>
    <font>
      <sz val="9.0"/>
      <color rgb="FF000000"/>
      <name val="Arial"/>
    </font>
    <font>
      <b/>
      <sz val="14.0"/>
      <color rgb="FFFF0000"/>
      <name val="Calibri"/>
    </font>
    <font>
      <sz val="8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9.0"/>
      <color theme="1"/>
      <name val="Arial"/>
    </font>
    <font>
      <b/>
      <sz val="10.0"/>
      <color theme="1"/>
      <name val="Arial"/>
    </font>
    <font>
      <b/>
      <sz val="8.0"/>
      <color theme="1"/>
      <name val="Calibri"/>
    </font>
    <font>
      <b/>
      <i/>
      <sz val="6.0"/>
      <color rgb="FF000000"/>
      <name val="Arial"/>
    </font>
    <font>
      <b/>
      <sz val="8.0"/>
      <color theme="1"/>
      <name val="Arial"/>
    </font>
    <font>
      <sz val="8.0"/>
      <color theme="1"/>
      <name val="Arial"/>
    </font>
    <font>
      <b/>
      <sz val="14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6.0"/>
      <color theme="1"/>
      <name val="Arial"/>
    </font>
    <font>
      <sz val="9.0"/>
      <color rgb="FF0000FF"/>
      <name val="Arial"/>
    </font>
    <font>
      <sz val="9.0"/>
      <color rgb="FF222222"/>
      <name val="Arial"/>
    </font>
    <font>
      <b/>
      <sz val="9.0"/>
      <color rgb="FFFF0000"/>
      <name val="Arial"/>
    </font>
    <font>
      <b/>
      <sz val="9.0"/>
      <color rgb="FF0000FF"/>
      <name val="Arial"/>
    </font>
    <font>
      <b/>
      <sz val="9.0"/>
      <color rgb="FF000000"/>
      <name val="Arial"/>
    </font>
    <font>
      <sz val="11.0"/>
      <color rgb="FF1155CC"/>
      <name val="Inconsolata"/>
    </font>
    <font>
      <sz val="9.0"/>
      <color rgb="FFFF0000"/>
      <name val="Arial"/>
    </font>
    <font>
      <sz val="12.0"/>
      <color rgb="FF000000"/>
      <name val="Arial"/>
    </font>
    <font>
      <b/>
      <sz val="10.0"/>
      <color rgb="FF000000"/>
      <name val="Arial"/>
    </font>
    <font>
      <b/>
      <sz val="10.0"/>
      <color rgb="FF0000FF"/>
      <name val="Arial"/>
    </font>
    <font>
      <b/>
      <sz val="11.0"/>
      <color rgb="FF000000"/>
      <name val="Arial"/>
    </font>
    <font>
      <sz val="10.0"/>
      <color rgb="FFFF0000"/>
      <name val="Arial"/>
    </font>
    <font>
      <i/>
      <sz val="8.0"/>
      <color theme="1"/>
      <name val="Arial"/>
    </font>
    <font>
      <b/>
      <sz val="11.0"/>
      <color rgb="FF0000FF"/>
      <name val="Calibri"/>
    </font>
    <font>
      <sz val="11.0"/>
      <color rgb="FF0000FF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8.0"/>
      <color rgb="FF0000FF"/>
      <name val="Times New Roman"/>
    </font>
    <font>
      <sz val="7.0"/>
      <color theme="1"/>
      <name val="Times New Roman"/>
    </font>
    <font>
      <sz val="10.0"/>
      <color theme="1"/>
      <name val="Calibri"/>
    </font>
    <font>
      <sz val="8.0"/>
      <color theme="1"/>
      <name val="Times New Roman"/>
    </font>
    <font>
      <b/>
      <sz val="8.0"/>
      <color theme="1"/>
      <name val="Times New Roman"/>
    </font>
    <font>
      <sz val="8.0"/>
      <color rgb="FF0000FF"/>
      <name val="Arial"/>
    </font>
    <font>
      <b/>
      <sz val="6.0"/>
      <color theme="1"/>
      <name val="Times New Roman"/>
    </font>
    <font>
      <b/>
      <sz val="8.0"/>
      <color rgb="FF000000"/>
      <name val="Roboto"/>
    </font>
    <font>
      <sz val="10.0"/>
      <color rgb="FF0000FF"/>
      <name val="Arial"/>
    </font>
    <font>
      <b/>
      <u/>
      <sz val="10.0"/>
      <color rgb="FF000000"/>
      <name val="Arial"/>
    </font>
    <font>
      <sz val="10.0"/>
      <color rgb="FF333333"/>
      <name val="Arial"/>
    </font>
    <font>
      <u/>
      <sz val="10.0"/>
      <color rgb="FF0000FF"/>
      <name val="Arial"/>
    </font>
    <font>
      <b/>
      <sz val="8.0"/>
      <color rgb="FF000000"/>
      <name val="Verdana"/>
    </font>
    <font>
      <sz val="8.0"/>
      <color rgb="FF000000"/>
      <name val="Tahoma"/>
    </font>
    <font>
      <sz val="8.0"/>
      <color rgb="FF000000"/>
      <name val="Verdana"/>
    </font>
    <font>
      <b/>
      <sz val="12.0"/>
      <color rgb="FF000000"/>
      <name val="Arial"/>
    </font>
    <font>
      <b/>
      <sz val="10.0"/>
      <color rgb="FF000000"/>
      <name val="Verdana"/>
    </font>
    <font>
      <sz val="9.0"/>
      <color rgb="FF000000"/>
      <name val="Tahoma"/>
    </font>
    <font>
      <sz val="10.0"/>
      <color rgb="FF000000"/>
      <name val="Verdana"/>
    </font>
    <font>
      <sz val="10.0"/>
      <color rgb="FF333333"/>
      <name val="Verdana"/>
    </font>
    <font>
      <sz val="9.0"/>
      <color rgb="FF333333"/>
      <name val="Tahoma"/>
    </font>
    <font>
      <b/>
      <sz val="10.0"/>
      <color rgb="FF333333"/>
      <name val="Verdana"/>
    </font>
    <font>
      <sz val="9.0"/>
      <color rgb="FF000000"/>
      <name val="Verdana"/>
    </font>
    <font>
      <sz val="10.0"/>
      <color rgb="FFFF0000"/>
      <name val="Verdana"/>
    </font>
    <font>
      <sz val="7.0"/>
      <color theme="1"/>
      <name val="Arial"/>
    </font>
    <font>
      <sz val="8.0"/>
      <color rgb="FF000000"/>
      <name val="Calibri"/>
    </font>
    <font>
      <b/>
      <sz val="8.0"/>
      <color theme="1"/>
      <name val="Verdana"/>
    </font>
    <font>
      <sz val="8.0"/>
      <color theme="1"/>
      <name val="Verdana"/>
    </font>
    <font>
      <i/>
      <sz val="10.0"/>
      <color theme="1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E7E7E7"/>
        <bgColor rgb="FFE7E7E7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E9E9F2"/>
        <bgColor rgb="FFE9E9F2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00FF00"/>
        <bgColor rgb="FF00FF00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</fills>
  <borders count="6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top"/>
    </xf>
    <xf borderId="1" fillId="3" fontId="0" numFmtId="0" xfId="0" applyAlignment="1" applyBorder="1" applyFill="1" applyFont="1">
      <alignment horizontal="left" vertical="top"/>
    </xf>
    <xf borderId="1" fillId="2" fontId="1" numFmtId="164" xfId="0" applyAlignment="1" applyBorder="1" applyFont="1" applyNumberFormat="1">
      <alignment horizontal="left" vertical="top"/>
    </xf>
    <xf borderId="1" fillId="3" fontId="0" numFmtId="164" xfId="0" applyAlignment="1" applyBorder="1" applyFont="1" applyNumberFormat="1">
      <alignment horizontal="left" vertical="top"/>
    </xf>
    <xf borderId="1" fillId="4" fontId="2" numFmtId="164" xfId="0" applyAlignment="1" applyBorder="1" applyFill="1" applyFont="1" applyNumberFormat="1">
      <alignment horizontal="right" vertical="top"/>
    </xf>
    <xf borderId="1" fillId="4" fontId="3" numFmtId="164" xfId="0" applyAlignment="1" applyBorder="1" applyFont="1" applyNumberFormat="1">
      <alignment horizontal="left" vertical="top"/>
    </xf>
    <xf borderId="1" fillId="4" fontId="3" numFmtId="164" xfId="0" applyAlignment="1" applyBorder="1" applyFont="1" applyNumberFormat="1">
      <alignment horizontal="center" vertical="top"/>
    </xf>
    <xf borderId="1" fillId="4" fontId="3" numFmtId="164" xfId="0" applyAlignment="1" applyBorder="1" applyFont="1" applyNumberFormat="1">
      <alignment horizontal="right" vertical="top"/>
    </xf>
    <xf borderId="1" fillId="4" fontId="3" numFmtId="0" xfId="0" applyAlignment="1" applyBorder="1" applyFont="1">
      <alignment horizontal="right" vertical="top"/>
    </xf>
    <xf borderId="1" fillId="4" fontId="3" numFmtId="0" xfId="0" applyAlignment="1" applyBorder="1" applyFont="1">
      <alignment horizontal="left" vertical="top"/>
    </xf>
    <xf borderId="1" fillId="4" fontId="0" numFmtId="0" xfId="0" applyBorder="1" applyFont="1"/>
    <xf borderId="0" fillId="0" fontId="0" numFmtId="0" xfId="0" applyFont="1"/>
    <xf borderId="1" fillId="5" fontId="2" numFmtId="0" xfId="0" applyAlignment="1" applyBorder="1" applyFill="1" applyFont="1">
      <alignment horizontal="left" vertical="top"/>
    </xf>
    <xf borderId="1" fillId="5" fontId="2" numFmtId="164" xfId="0" applyAlignment="1" applyBorder="1" applyFont="1" applyNumberFormat="1">
      <alignment horizontal="right" vertical="top"/>
    </xf>
    <xf borderId="1" fillId="5" fontId="2" numFmtId="164" xfId="0" applyAlignment="1" applyBorder="1" applyFont="1" applyNumberFormat="1">
      <alignment horizontal="left" vertical="top"/>
    </xf>
    <xf borderId="1" fillId="6" fontId="2" numFmtId="164" xfId="0" applyAlignment="1" applyBorder="1" applyFill="1" applyFont="1" applyNumberFormat="1">
      <alignment horizontal="right" vertical="top"/>
    </xf>
    <xf borderId="1" fillId="5" fontId="2" numFmtId="4" xfId="0" applyAlignment="1" applyBorder="1" applyFont="1" applyNumberFormat="1">
      <alignment horizontal="right" vertical="top"/>
    </xf>
    <xf borderId="1" fillId="5" fontId="2" numFmtId="0" xfId="0" applyAlignment="1" applyBorder="1" applyFont="1">
      <alignment horizontal="right" vertical="top"/>
    </xf>
    <xf borderId="1" fillId="4" fontId="2" numFmtId="164" xfId="0" applyAlignment="1" applyBorder="1" applyFont="1" applyNumberFormat="1">
      <alignment horizontal="left" vertical="top"/>
    </xf>
    <xf borderId="1" fillId="4" fontId="2" numFmtId="4" xfId="0" applyAlignment="1" applyBorder="1" applyFont="1" applyNumberFormat="1">
      <alignment horizontal="right" vertical="top"/>
    </xf>
    <xf borderId="1" fillId="4" fontId="2" numFmtId="4" xfId="0" applyAlignment="1" applyBorder="1" applyFont="1" applyNumberFormat="1">
      <alignment horizontal="left" vertical="top"/>
    </xf>
    <xf borderId="1" fillId="4" fontId="2" numFmtId="0" xfId="0" applyAlignment="1" applyBorder="1" applyFont="1">
      <alignment horizontal="left" vertical="top"/>
    </xf>
    <xf borderId="1" fillId="4" fontId="2" numFmtId="0" xfId="0" applyAlignment="1" applyBorder="1" applyFont="1">
      <alignment horizontal="right" vertical="top"/>
    </xf>
    <xf borderId="1" fillId="5" fontId="2" numFmtId="4" xfId="0" applyAlignment="1" applyBorder="1" applyFont="1" applyNumberFormat="1">
      <alignment horizontal="left" vertical="top"/>
    </xf>
    <xf borderId="1" fillId="7" fontId="2" numFmtId="164" xfId="0" applyAlignment="1" applyBorder="1" applyFill="1" applyFont="1" applyNumberFormat="1">
      <alignment horizontal="left" vertical="top"/>
    </xf>
    <xf borderId="1" fillId="7" fontId="2" numFmtId="164" xfId="0" applyAlignment="1" applyBorder="1" applyFont="1" applyNumberFormat="1">
      <alignment horizontal="right" vertical="top"/>
    </xf>
    <xf borderId="1" fillId="7" fontId="2" numFmtId="4" xfId="0" applyAlignment="1" applyBorder="1" applyFont="1" applyNumberFormat="1">
      <alignment horizontal="left" vertical="top"/>
    </xf>
    <xf borderId="1" fillId="7" fontId="2" numFmtId="4" xfId="0" applyAlignment="1" applyBorder="1" applyFont="1" applyNumberFormat="1">
      <alignment horizontal="right" vertical="top"/>
    </xf>
    <xf borderId="1" fillId="7" fontId="2" numFmtId="0" xfId="0" applyAlignment="1" applyBorder="1" applyFont="1">
      <alignment horizontal="left" vertical="top"/>
    </xf>
    <xf borderId="1" fillId="7" fontId="2" numFmtId="0" xfId="0" applyAlignment="1" applyBorder="1" applyFont="1">
      <alignment horizontal="right" vertical="top"/>
    </xf>
    <xf borderId="1" fillId="4" fontId="2" numFmtId="0" xfId="0" applyAlignment="1" applyBorder="1" applyFont="1">
      <alignment vertical="top"/>
    </xf>
    <xf borderId="1" fillId="4" fontId="2" numFmtId="4" xfId="0" applyAlignment="1" applyBorder="1" applyFont="1" applyNumberFormat="1">
      <alignment vertical="top"/>
    </xf>
    <xf borderId="1" fillId="4" fontId="4" numFmtId="0" xfId="0" applyBorder="1" applyFont="1"/>
    <xf borderId="1" fillId="4" fontId="4" numFmtId="164" xfId="0" applyBorder="1" applyFont="1" applyNumberFormat="1"/>
    <xf borderId="0" fillId="0" fontId="4" numFmtId="164" xfId="0" applyFont="1" applyNumberFormat="1"/>
    <xf borderId="1" fillId="4" fontId="1" numFmtId="0" xfId="0" applyAlignment="1" applyBorder="1" applyFont="1">
      <alignment horizontal="left" vertical="top"/>
    </xf>
    <xf borderId="1" fillId="4" fontId="0" numFmtId="0" xfId="0" applyAlignment="1" applyBorder="1" applyFont="1">
      <alignment horizontal="left" vertical="top"/>
    </xf>
    <xf borderId="1" fillId="4" fontId="1" numFmtId="164" xfId="0" applyAlignment="1" applyBorder="1" applyFont="1" applyNumberFormat="1">
      <alignment horizontal="left" vertical="top"/>
    </xf>
    <xf borderId="1" fillId="4" fontId="0" numFmtId="164" xfId="0" applyAlignment="1" applyBorder="1" applyFont="1" applyNumberFormat="1">
      <alignment horizontal="left" vertical="top"/>
    </xf>
    <xf borderId="2" fillId="4" fontId="5" numFmtId="0" xfId="0" applyAlignment="1" applyBorder="1" applyFont="1">
      <alignment horizontal="center" shrinkToFit="0" vertical="top" wrapText="1"/>
    </xf>
    <xf borderId="3" fillId="0" fontId="6" numFmtId="0" xfId="0" applyBorder="1" applyFont="1"/>
    <xf borderId="4" fillId="0" fontId="6" numFmtId="0" xfId="0" applyBorder="1" applyFont="1"/>
    <xf borderId="0" fillId="0" fontId="7" numFmtId="0" xfId="0" applyFont="1"/>
    <xf borderId="2" fillId="4" fontId="8" numFmtId="0" xfId="0" applyAlignment="1" applyBorder="1" applyFont="1">
      <alignment horizontal="center" shrinkToFit="0" vertical="top" wrapText="1"/>
    </xf>
    <xf borderId="1" fillId="4" fontId="9" numFmtId="0" xfId="0" applyBorder="1" applyFont="1"/>
    <xf borderId="5" fillId="4" fontId="5" numFmtId="0" xfId="0" applyAlignment="1" applyBorder="1" applyFont="1">
      <alignment shrinkToFit="0" vertical="top" wrapText="1"/>
    </xf>
    <xf borderId="5" fillId="4" fontId="10" numFmtId="0" xfId="0" applyAlignment="1" applyBorder="1" applyFont="1">
      <alignment vertical="top"/>
    </xf>
    <xf borderId="5" fillId="4" fontId="11" numFmtId="0" xfId="0" applyAlignment="1" applyBorder="1" applyFont="1">
      <alignment vertical="top"/>
    </xf>
    <xf borderId="5" fillId="4" fontId="11" numFmtId="0" xfId="0" applyBorder="1" applyFont="1"/>
    <xf borderId="6" fillId="4" fontId="5" numFmtId="165" xfId="0" applyAlignment="1" applyBorder="1" applyFont="1" applyNumberFormat="1">
      <alignment horizontal="right" shrinkToFit="0" vertical="top" wrapText="1"/>
    </xf>
    <xf borderId="7" fillId="0" fontId="6" numFmtId="0" xfId="0" applyBorder="1" applyFont="1"/>
    <xf borderId="1" fillId="4" fontId="12" numFmtId="0" xfId="0" applyBorder="1" applyFont="1"/>
    <xf borderId="8" fillId="8" fontId="8" numFmtId="0" xfId="0" applyAlignment="1" applyBorder="1" applyFill="1" applyFont="1">
      <alignment horizontal="center" shrinkToFit="0" vertical="center" wrapText="1"/>
    </xf>
    <xf borderId="9" fillId="8" fontId="8" numFmtId="0" xfId="0" applyAlignment="1" applyBorder="1" applyFont="1">
      <alignment horizontal="center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6" fillId="8" fontId="8" numFmtId="0" xfId="0" applyAlignment="1" applyBorder="1" applyFont="1">
      <alignment horizontal="center"/>
    </xf>
    <xf borderId="13" fillId="0" fontId="6" numFmtId="0" xfId="0" applyBorder="1" applyFont="1"/>
    <xf borderId="14" fillId="0" fontId="6" numFmtId="0" xfId="0" applyBorder="1" applyFont="1"/>
    <xf borderId="15" fillId="8" fontId="8" numFmtId="0" xfId="0" applyAlignment="1" applyBorder="1" applyFont="1">
      <alignment horizontal="center"/>
    </xf>
    <xf borderId="16" fillId="0" fontId="6" numFmtId="0" xfId="0" applyBorder="1" applyFont="1"/>
    <xf borderId="17" fillId="0" fontId="6" numFmtId="0" xfId="0" applyBorder="1" applyFont="1"/>
    <xf borderId="18" fillId="8" fontId="8" numFmtId="0" xfId="0" applyAlignment="1" applyBorder="1" applyFont="1">
      <alignment horizontal="center" shrinkToFit="0" wrapText="1"/>
    </xf>
    <xf borderId="19" fillId="0" fontId="6" numFmtId="0" xfId="0" applyBorder="1" applyFont="1"/>
    <xf borderId="20" fillId="8" fontId="8" numFmtId="17" xfId="0" applyAlignment="1" applyBorder="1" applyFont="1" applyNumberFormat="1">
      <alignment horizontal="center" shrinkToFit="0" wrapText="1"/>
    </xf>
    <xf borderId="20" fillId="8" fontId="8" numFmtId="0" xfId="0" applyAlignment="1" applyBorder="1" applyFont="1">
      <alignment horizontal="center" shrinkToFit="0" wrapText="1"/>
    </xf>
    <xf borderId="21" fillId="0" fontId="6" numFmtId="0" xfId="0" applyBorder="1" applyFont="1"/>
    <xf borderId="12" fillId="0" fontId="8" numFmtId="0" xfId="0" applyBorder="1" applyFont="1"/>
    <xf borderId="22" fillId="0" fontId="8" numFmtId="164" xfId="0" applyAlignment="1" applyBorder="1" applyFont="1" applyNumberFormat="1">
      <alignment horizontal="right" shrinkToFit="0" vertical="top" wrapText="1"/>
    </xf>
    <xf borderId="22" fillId="0" fontId="8" numFmtId="0" xfId="0" applyAlignment="1" applyBorder="1" applyFont="1">
      <alignment horizontal="right" shrinkToFit="0" vertical="top" wrapText="1"/>
    </xf>
    <xf borderId="22" fillId="0" fontId="8" numFmtId="164" xfId="0" applyAlignment="1" applyBorder="1" applyFont="1" applyNumberFormat="1">
      <alignment horizontal="right" vertical="top"/>
    </xf>
    <xf borderId="22" fillId="0" fontId="8" numFmtId="4" xfId="0" applyAlignment="1" applyBorder="1" applyFont="1" applyNumberFormat="1">
      <alignment horizontal="right" vertical="top"/>
    </xf>
    <xf borderId="22" fillId="0" fontId="8" numFmtId="0" xfId="0" applyAlignment="1" applyBorder="1" applyFont="1">
      <alignment horizontal="right" vertical="top"/>
    </xf>
    <xf borderId="1" fillId="4" fontId="13" numFmtId="0" xfId="0" applyBorder="1" applyFont="1"/>
    <xf borderId="0" fillId="0" fontId="14" numFmtId="0" xfId="0" applyFont="1"/>
    <xf borderId="12" fillId="0" fontId="5" numFmtId="0" xfId="0" applyBorder="1" applyFont="1"/>
    <xf borderId="22" fillId="0" fontId="5" numFmtId="164" xfId="0" applyAlignment="1" applyBorder="1" applyFont="1" applyNumberFormat="1">
      <alignment horizontal="right" vertical="top"/>
    </xf>
    <xf borderId="22" fillId="0" fontId="5" numFmtId="4" xfId="0" applyAlignment="1" applyBorder="1" applyFont="1" applyNumberFormat="1">
      <alignment horizontal="right" vertical="top"/>
    </xf>
    <xf borderId="22" fillId="0" fontId="5" numFmtId="0" xfId="0" applyAlignment="1" applyBorder="1" applyFont="1">
      <alignment horizontal="right" vertical="top"/>
    </xf>
    <xf borderId="22" fillId="0" fontId="8" numFmtId="166" xfId="0" applyAlignment="1" applyBorder="1" applyFont="1" applyNumberFormat="1">
      <alignment horizontal="right" vertical="top"/>
    </xf>
    <xf borderId="22" fillId="0" fontId="5" numFmtId="0" xfId="0" applyAlignment="1" applyBorder="1" applyFont="1">
      <alignment horizontal="right"/>
    </xf>
    <xf borderId="23" fillId="8" fontId="8" numFmtId="0" xfId="0" applyAlignment="1" applyBorder="1" applyFont="1">
      <alignment vertical="top"/>
    </xf>
    <xf borderId="23" fillId="8" fontId="8" numFmtId="164" xfId="0" applyAlignment="1" applyBorder="1" applyFont="1" applyNumberFormat="1">
      <alignment horizontal="right" vertical="top"/>
    </xf>
    <xf borderId="23" fillId="8" fontId="8" numFmtId="4" xfId="0" applyAlignment="1" applyBorder="1" applyFont="1" applyNumberFormat="1">
      <alignment horizontal="right" vertical="top"/>
    </xf>
    <xf borderId="23" fillId="8" fontId="8" numFmtId="0" xfId="0" applyAlignment="1" applyBorder="1" applyFont="1">
      <alignment horizontal="right" vertical="top"/>
    </xf>
    <xf borderId="1" fillId="4" fontId="11" numFmtId="0" xfId="0" applyAlignment="1" applyBorder="1" applyFont="1">
      <alignment vertical="top"/>
    </xf>
    <xf borderId="1" fillId="4" fontId="11" numFmtId="0" xfId="0" applyBorder="1" applyFont="1"/>
    <xf borderId="23" fillId="8" fontId="15" numFmtId="0" xfId="0" applyAlignment="1" applyBorder="1" applyFont="1">
      <alignment horizontal="center" vertical="center"/>
    </xf>
    <xf borderId="24" fillId="8" fontId="8" numFmtId="0" xfId="0" applyAlignment="1" applyBorder="1" applyFont="1">
      <alignment horizontal="center" vertical="center"/>
    </xf>
    <xf borderId="23" fillId="8" fontId="8" numFmtId="0" xfId="0" applyAlignment="1" applyBorder="1" applyFont="1">
      <alignment horizontal="center" shrinkToFit="0" wrapText="1"/>
    </xf>
    <xf borderId="1" fillId="4" fontId="11" numFmtId="167" xfId="0" applyAlignment="1" applyBorder="1" applyFont="1" applyNumberFormat="1">
      <alignment vertical="top"/>
    </xf>
    <xf borderId="19" fillId="0" fontId="5" numFmtId="0" xfId="0" applyAlignment="1" applyBorder="1" applyFont="1">
      <alignment vertical="top"/>
    </xf>
    <xf borderId="25" fillId="0" fontId="5" numFmtId="4" xfId="0" applyAlignment="1" applyBorder="1" applyFont="1" applyNumberFormat="1">
      <alignment horizontal="right" vertical="top"/>
    </xf>
    <xf borderId="19" fillId="0" fontId="11" numFmtId="167" xfId="0" applyAlignment="1" applyBorder="1" applyFont="1" applyNumberFormat="1">
      <alignment horizontal="center" vertical="top"/>
    </xf>
    <xf borderId="1" fillId="4" fontId="11" numFmtId="168" xfId="0" applyBorder="1" applyFont="1" applyNumberFormat="1"/>
    <xf borderId="1" fillId="4" fontId="11" numFmtId="4" xfId="0" applyBorder="1" applyFont="1" applyNumberFormat="1"/>
    <xf borderId="1" fillId="4" fontId="11" numFmtId="14" xfId="0" applyAlignment="1" applyBorder="1" applyFont="1" applyNumberFormat="1">
      <alignment vertical="top"/>
    </xf>
    <xf borderId="26" fillId="8" fontId="8" numFmtId="0" xfId="0" applyAlignment="1" applyBorder="1" applyFont="1">
      <alignment vertical="top"/>
    </xf>
    <xf borderId="5" fillId="8" fontId="8" numFmtId="4" xfId="0" applyAlignment="1" applyBorder="1" applyFont="1" applyNumberFormat="1">
      <alignment horizontal="right" vertical="top"/>
    </xf>
    <xf borderId="26" fillId="8" fontId="16" numFmtId="167" xfId="0" applyAlignment="1" applyBorder="1" applyFont="1" applyNumberFormat="1">
      <alignment horizontal="center" vertical="top"/>
    </xf>
    <xf borderId="1" fillId="4" fontId="17" numFmtId="0" xfId="0" applyBorder="1" applyFont="1"/>
    <xf borderId="0" fillId="0" fontId="18" numFmtId="0" xfId="0" applyFont="1"/>
    <xf borderId="27" fillId="0" fontId="18" numFmtId="0" xfId="0" applyBorder="1" applyFont="1"/>
    <xf borderId="28" fillId="0" fontId="7" numFmtId="0" xfId="0" applyBorder="1" applyFont="1"/>
    <xf borderId="29" fillId="0" fontId="7" numFmtId="0" xfId="0" applyBorder="1" applyFont="1"/>
    <xf borderId="30" fillId="0" fontId="5" numFmtId="0" xfId="0" applyAlignment="1" applyBorder="1" applyFont="1">
      <alignment horizontal="left" shrinkToFit="0" wrapText="1"/>
    </xf>
    <xf borderId="22" fillId="0" fontId="6" numFmtId="0" xfId="0" applyBorder="1" applyFont="1"/>
    <xf borderId="31" fillId="0" fontId="5" numFmtId="0" xfId="0" applyAlignment="1" applyBorder="1" applyFont="1">
      <alignment horizontal="left" shrinkToFit="0" wrapText="1"/>
    </xf>
    <xf borderId="25" fillId="0" fontId="6" numFmtId="0" xfId="0" applyBorder="1" applyFont="1"/>
    <xf borderId="32" fillId="0" fontId="6" numFmtId="0" xfId="0" applyBorder="1" applyFont="1"/>
    <xf borderId="0" fillId="0" fontId="5" numFmtId="0" xfId="0" applyAlignment="1" applyFont="1">
      <alignment horizontal="left" shrinkToFit="0" wrapText="1"/>
    </xf>
    <xf borderId="0" fillId="0" fontId="14" numFmtId="0" xfId="0" applyAlignment="1" applyFont="1">
      <alignment horizontal="center"/>
    </xf>
    <xf borderId="25" fillId="0" fontId="14" numFmtId="0" xfId="0" applyBorder="1" applyFont="1"/>
    <xf borderId="25" fillId="0" fontId="14" numFmtId="0" xfId="0" applyAlignment="1" applyBorder="1" applyFont="1">
      <alignment horizontal="center"/>
    </xf>
    <xf borderId="0" fillId="0" fontId="7" numFmtId="164" xfId="0" applyAlignment="1" applyFont="1" applyNumberFormat="1">
      <alignment horizontal="right"/>
    </xf>
    <xf borderId="0" fillId="0" fontId="7" numFmtId="4" xfId="0" applyFont="1" applyNumberFormat="1"/>
    <xf borderId="0" fillId="0" fontId="14" numFmtId="164" xfId="0" applyFont="1" applyNumberFormat="1"/>
    <xf borderId="0" fillId="0" fontId="7" numFmtId="164" xfId="0" applyFont="1" applyNumberFormat="1"/>
    <xf borderId="25" fillId="0" fontId="7" numFmtId="0" xfId="0" applyBorder="1" applyFont="1"/>
    <xf borderId="25" fillId="0" fontId="7" numFmtId="4" xfId="0" applyAlignment="1" applyBorder="1" applyFont="1" applyNumberFormat="1">
      <alignment horizontal="right"/>
    </xf>
    <xf borderId="25" fillId="0" fontId="7" numFmtId="4" xfId="0" applyBorder="1" applyFont="1" applyNumberFormat="1"/>
    <xf borderId="0" fillId="0" fontId="7" numFmtId="4" xfId="0" applyAlignment="1" applyFont="1" applyNumberFormat="1">
      <alignment horizontal="right"/>
    </xf>
    <xf borderId="0" fillId="0" fontId="4" numFmtId="3" xfId="0" applyFont="1" applyNumberFormat="1"/>
    <xf borderId="33" fillId="4" fontId="4" numFmtId="0" xfId="0" applyAlignment="1" applyBorder="1" applyFont="1">
      <alignment horizontal="center" shrinkToFit="0" vertical="top" wrapText="1"/>
    </xf>
    <xf borderId="0" fillId="0" fontId="4" numFmtId="0" xfId="0" applyFont="1"/>
    <xf borderId="34" fillId="4" fontId="4" numFmtId="0" xfId="0" applyAlignment="1" applyBorder="1" applyFont="1">
      <alignment horizontal="center" shrinkToFit="0" vertical="top" wrapText="1"/>
    </xf>
    <xf borderId="35" fillId="0" fontId="6" numFmtId="0" xfId="0" applyBorder="1" applyFont="1"/>
    <xf borderId="34" fillId="4" fontId="15" numFmtId="0" xfId="0" applyAlignment="1" applyBorder="1" applyFont="1">
      <alignment horizontal="center" shrinkToFit="0" vertical="top" wrapText="1"/>
    </xf>
    <xf borderId="1" fillId="4" fontId="7" numFmtId="0" xfId="0" applyBorder="1" applyFont="1"/>
    <xf borderId="36" fillId="4" fontId="19" numFmtId="0" xfId="0" applyAlignment="1" applyBorder="1" applyFont="1">
      <alignment shrinkToFit="0" vertical="top" wrapText="1"/>
    </xf>
    <xf borderId="5" fillId="4" fontId="20" numFmtId="0" xfId="0" applyAlignment="1" applyBorder="1" applyFont="1">
      <alignment vertical="top"/>
    </xf>
    <xf borderId="6" fillId="4" fontId="19" numFmtId="165" xfId="0" applyAlignment="1" applyBorder="1" applyFont="1" applyNumberFormat="1">
      <alignment horizontal="right" shrinkToFit="0" vertical="top" wrapText="1"/>
    </xf>
    <xf borderId="8" fillId="8" fontId="18" numFmtId="0" xfId="0" applyAlignment="1" applyBorder="1" applyFont="1">
      <alignment horizontal="center" shrinkToFit="0" vertical="center" wrapText="1"/>
    </xf>
    <xf borderId="9" fillId="8" fontId="18" numFmtId="0" xfId="0" applyAlignment="1" applyBorder="1" applyFont="1">
      <alignment horizontal="center"/>
    </xf>
    <xf borderId="6" fillId="8" fontId="18" numFmtId="0" xfId="0" applyAlignment="1" applyBorder="1" applyFont="1">
      <alignment horizontal="center"/>
    </xf>
    <xf borderId="15" fillId="8" fontId="18" numFmtId="0" xfId="0" applyAlignment="1" applyBorder="1" applyFont="1">
      <alignment horizontal="center"/>
    </xf>
    <xf borderId="18" fillId="8" fontId="18" numFmtId="0" xfId="0" applyAlignment="1" applyBorder="1" applyFont="1">
      <alignment horizontal="center" shrinkToFit="0" wrapText="1"/>
    </xf>
    <xf borderId="20" fillId="8" fontId="18" numFmtId="17" xfId="0" applyAlignment="1" applyBorder="1" applyFont="1" applyNumberFormat="1">
      <alignment horizontal="center" shrinkToFit="0" wrapText="1"/>
    </xf>
    <xf borderId="20" fillId="8" fontId="18" numFmtId="0" xfId="0" applyAlignment="1" applyBorder="1" applyFont="1">
      <alignment horizontal="center" shrinkToFit="0" wrapText="1"/>
    </xf>
    <xf borderId="12" fillId="0" fontId="18" numFmtId="0" xfId="0" applyBorder="1" applyFont="1"/>
    <xf borderId="22" fillId="0" fontId="18" numFmtId="166" xfId="0" applyAlignment="1" applyBorder="1" applyFont="1" applyNumberFormat="1">
      <alignment horizontal="right" shrinkToFit="0" vertical="top" wrapText="1"/>
    </xf>
    <xf borderId="22" fillId="0" fontId="18" numFmtId="166" xfId="0" applyAlignment="1" applyBorder="1" applyFont="1" applyNumberFormat="1">
      <alignment horizontal="right" vertical="top"/>
    </xf>
    <xf borderId="12" fillId="0" fontId="19" numFmtId="0" xfId="0" applyBorder="1" applyFont="1"/>
    <xf borderId="22" fillId="0" fontId="19" numFmtId="166" xfId="0" applyAlignment="1" applyBorder="1" applyFont="1" applyNumberFormat="1">
      <alignment horizontal="right" vertical="top"/>
    </xf>
    <xf borderId="22" fillId="0" fontId="19" numFmtId="166" xfId="0" applyAlignment="1" applyBorder="1" applyFont="1" applyNumberFormat="1">
      <alignment horizontal="right"/>
    </xf>
    <xf borderId="23" fillId="8" fontId="18" numFmtId="0" xfId="0" applyAlignment="1" applyBorder="1" applyFont="1">
      <alignment vertical="top"/>
    </xf>
    <xf borderId="23" fillId="8" fontId="18" numFmtId="166" xfId="0" applyAlignment="1" applyBorder="1" applyFont="1" applyNumberFormat="1">
      <alignment horizontal="right" vertical="top"/>
    </xf>
    <xf borderId="37" fillId="4" fontId="11" numFmtId="0" xfId="0" applyAlignment="1" applyBorder="1" applyFont="1">
      <alignment vertical="top"/>
    </xf>
    <xf borderId="38" fillId="4" fontId="11" numFmtId="0" xfId="0" applyBorder="1" applyFont="1"/>
    <xf borderId="39" fillId="8" fontId="15" numFmtId="0" xfId="0" applyAlignment="1" applyBorder="1" applyFont="1">
      <alignment horizontal="center" vertical="center"/>
    </xf>
    <xf borderId="40" fillId="0" fontId="6" numFmtId="0" xfId="0" applyBorder="1" applyFont="1"/>
    <xf borderId="23" fillId="8" fontId="15" numFmtId="0" xfId="0" applyAlignment="1" applyBorder="1" applyFont="1">
      <alignment horizontal="center" shrinkToFit="0" wrapText="1"/>
    </xf>
    <xf borderId="19" fillId="0" fontId="7" numFmtId="0" xfId="0" applyAlignment="1" applyBorder="1" applyFont="1">
      <alignment vertical="top"/>
    </xf>
    <xf borderId="25" fillId="0" fontId="7" numFmtId="4" xfId="0" applyAlignment="1" applyBorder="1" applyFont="1" applyNumberFormat="1">
      <alignment horizontal="right" vertical="top"/>
    </xf>
    <xf borderId="19" fillId="0" fontId="21" numFmtId="167" xfId="0" applyAlignment="1" applyBorder="1" applyFont="1" applyNumberFormat="1">
      <alignment horizontal="center" vertical="top"/>
    </xf>
    <xf borderId="25" fillId="0" fontId="7" numFmtId="4" xfId="0" applyAlignment="1" applyBorder="1" applyFont="1" applyNumberFormat="1">
      <alignment horizontal="right" vertical="center"/>
    </xf>
    <xf borderId="26" fillId="8" fontId="14" numFmtId="0" xfId="0" applyAlignment="1" applyBorder="1" applyFont="1">
      <alignment vertical="top"/>
    </xf>
    <xf borderId="6" fillId="8" fontId="14" numFmtId="4" xfId="0" applyAlignment="1" applyBorder="1" applyFont="1" applyNumberFormat="1">
      <alignment horizontal="right" vertical="top"/>
    </xf>
    <xf borderId="26" fillId="8" fontId="22" numFmtId="167" xfId="0" applyAlignment="1" applyBorder="1" applyFont="1" applyNumberFormat="1">
      <alignment horizontal="center" vertical="top"/>
    </xf>
    <xf borderId="37" fillId="4" fontId="11" numFmtId="0" xfId="0" applyBorder="1" applyFont="1"/>
    <xf borderId="37" fillId="4" fontId="23" numFmtId="0" xfId="0" applyBorder="1" applyFont="1"/>
    <xf borderId="0" fillId="0" fontId="23" numFmtId="0" xfId="0" applyFont="1"/>
    <xf borderId="22" fillId="0" fontId="7" numFmtId="0" xfId="0" applyBorder="1" applyFont="1"/>
    <xf borderId="30" fillId="0" fontId="19" numFmtId="0" xfId="0" applyAlignment="1" applyBorder="1" applyFont="1">
      <alignment horizontal="left" shrinkToFit="0" wrapText="1"/>
    </xf>
    <xf borderId="31" fillId="0" fontId="19" numFmtId="0" xfId="0" applyAlignment="1" applyBorder="1" applyFont="1">
      <alignment horizontal="left" shrinkToFit="0" wrapText="1"/>
    </xf>
    <xf borderId="27" fillId="0" fontId="19" numFmtId="0" xfId="0" applyAlignment="1" applyBorder="1" applyFont="1">
      <alignment horizontal="left" shrinkToFit="0" wrapText="1"/>
    </xf>
    <xf borderId="28" fillId="0" fontId="6" numFmtId="0" xfId="0" applyBorder="1" applyFont="1"/>
    <xf borderId="29" fillId="0" fontId="6" numFmtId="0" xfId="0" applyBorder="1" applyFont="1"/>
    <xf borderId="30" fillId="0" fontId="7" numFmtId="0" xfId="0" applyBorder="1" applyFont="1"/>
    <xf borderId="31" fillId="0" fontId="7" numFmtId="0" xfId="0" applyBorder="1" applyFont="1"/>
    <xf borderId="32" fillId="0" fontId="7" numFmtId="0" xfId="0" applyBorder="1" applyFont="1"/>
    <xf borderId="1" fillId="4" fontId="14" numFmtId="0" xfId="0" applyBorder="1" applyFont="1"/>
    <xf borderId="1" fillId="4" fontId="14" numFmtId="169" xfId="0" applyAlignment="1" applyBorder="1" applyFont="1" applyNumberFormat="1">
      <alignment horizontal="center"/>
    </xf>
    <xf borderId="1" fillId="4" fontId="14" numFmtId="0" xfId="0" applyAlignment="1" applyBorder="1" applyFont="1">
      <alignment horizontal="center"/>
    </xf>
    <xf borderId="1" fillId="4" fontId="14" numFmtId="170" xfId="0" applyAlignment="1" applyBorder="1" applyFont="1" applyNumberFormat="1">
      <alignment horizontal="center"/>
    </xf>
    <xf borderId="41" fillId="7" fontId="14" numFmtId="0" xfId="0" applyBorder="1" applyFont="1"/>
    <xf borderId="23" fillId="7" fontId="14" numFmtId="169" xfId="0" applyAlignment="1" applyBorder="1" applyFont="1" applyNumberFormat="1">
      <alignment horizontal="center"/>
    </xf>
    <xf borderId="23" fillId="7" fontId="14" numFmtId="0" xfId="0" applyBorder="1" applyFont="1"/>
    <xf borderId="37" fillId="4" fontId="7" numFmtId="0" xfId="0" applyAlignment="1" applyBorder="1" applyFont="1">
      <alignment horizontal="left"/>
    </xf>
    <xf borderId="12" fillId="0" fontId="24" numFmtId="164" xfId="0" applyBorder="1" applyFont="1" applyNumberFormat="1"/>
    <xf borderId="22" fillId="0" fontId="7" numFmtId="164" xfId="0" applyBorder="1" applyFont="1" applyNumberFormat="1"/>
    <xf borderId="1" fillId="4" fontId="25" numFmtId="0" xfId="0" applyAlignment="1" applyBorder="1" applyFont="1">
      <alignment horizontal="center"/>
    </xf>
    <xf borderId="0" fillId="0" fontId="9" numFmtId="164" xfId="0" applyFont="1" applyNumberFormat="1"/>
    <xf borderId="12" fillId="0" fontId="26" numFmtId="164" xfId="0" applyBorder="1" applyFont="1" applyNumberFormat="1"/>
    <xf borderId="0" fillId="0" fontId="24" numFmtId="164" xfId="0" applyFont="1" applyNumberFormat="1"/>
    <xf borderId="0" fillId="0" fontId="4" numFmtId="4" xfId="0" applyFont="1" applyNumberFormat="1"/>
    <xf borderId="37" fillId="9" fontId="7" numFmtId="0" xfId="0" applyBorder="1" applyFill="1" applyFont="1"/>
    <xf borderId="0" fillId="0" fontId="26" numFmtId="164" xfId="0" applyAlignment="1" applyFont="1" applyNumberFormat="1">
      <alignment horizontal="right"/>
    </xf>
    <xf borderId="30" fillId="0" fontId="26" numFmtId="164" xfId="0" applyAlignment="1" applyBorder="1" applyFont="1" applyNumberFormat="1">
      <alignment horizontal="right"/>
    </xf>
    <xf borderId="0" fillId="0" fontId="27" numFmtId="164" xfId="0" applyAlignment="1" applyFont="1" applyNumberFormat="1">
      <alignment horizontal="left"/>
    </xf>
    <xf borderId="37" fillId="4" fontId="7" numFmtId="0" xfId="0" applyBorder="1" applyFont="1"/>
    <xf borderId="42" fillId="4" fontId="24" numFmtId="164" xfId="0" applyBorder="1" applyFont="1" applyNumberFormat="1"/>
    <xf borderId="37" fillId="9" fontId="7" numFmtId="0" xfId="0" applyAlignment="1" applyBorder="1" applyFont="1">
      <alignment shrinkToFit="0" wrapText="1"/>
    </xf>
    <xf borderId="5" fillId="4" fontId="25" numFmtId="0" xfId="0" applyAlignment="1" applyBorder="1" applyFont="1">
      <alignment horizontal="center"/>
    </xf>
    <xf borderId="25" fillId="0" fontId="9" numFmtId="164" xfId="0" applyBorder="1" applyFont="1" applyNumberFormat="1"/>
    <xf borderId="25" fillId="0" fontId="7" numFmtId="164" xfId="0" applyBorder="1" applyFont="1" applyNumberFormat="1"/>
    <xf borderId="23" fillId="0" fontId="14" numFmtId="0" xfId="0" applyBorder="1" applyFont="1"/>
    <xf borderId="23" fillId="0" fontId="14" numFmtId="164" xfId="0" applyBorder="1" applyFont="1" applyNumberFormat="1"/>
    <xf borderId="23" fillId="4" fontId="14" numFmtId="164" xfId="0" applyBorder="1" applyFont="1" applyNumberFormat="1"/>
    <xf borderId="23" fillId="6" fontId="7" numFmtId="0" xfId="0" applyBorder="1" applyFont="1"/>
    <xf borderId="23" fillId="8" fontId="27" numFmtId="164" xfId="0" applyBorder="1" applyFont="1" applyNumberFormat="1"/>
    <xf borderId="23" fillId="8" fontId="27" numFmtId="164" xfId="0" applyAlignment="1" applyBorder="1" applyFont="1" applyNumberFormat="1">
      <alignment horizontal="right"/>
    </xf>
    <xf borderId="1" fillId="8" fontId="27" numFmtId="164" xfId="0" applyAlignment="1" applyBorder="1" applyFont="1" applyNumberFormat="1">
      <alignment horizontal="right"/>
    </xf>
    <xf borderId="23" fillId="8" fontId="28" numFmtId="164" xfId="0" applyBorder="1" applyFont="1" applyNumberFormat="1"/>
    <xf borderId="0" fillId="0" fontId="14" numFmtId="4" xfId="0" applyFont="1" applyNumberFormat="1"/>
    <xf borderId="5" fillId="7" fontId="14" numFmtId="0" xfId="0" applyBorder="1" applyFont="1"/>
    <xf borderId="0" fillId="0" fontId="9" numFmtId="4" xfId="0" applyFont="1" applyNumberFormat="1"/>
    <xf borderId="23" fillId="9" fontId="7" numFmtId="0" xfId="0" applyBorder="1" applyFont="1"/>
    <xf borderId="23" fillId="0" fontId="24" numFmtId="164" xfId="0" applyBorder="1" applyFont="1" applyNumberFormat="1"/>
    <xf borderId="23" fillId="0" fontId="7" numFmtId="164" xfId="0" applyBorder="1" applyFont="1" applyNumberFormat="1"/>
    <xf borderId="25" fillId="0" fontId="9" numFmtId="4" xfId="0" applyBorder="1" applyFont="1" applyNumberFormat="1"/>
    <xf borderId="36" fillId="9" fontId="7" numFmtId="0" xfId="0" applyBorder="1" applyFont="1"/>
    <xf borderId="19" fillId="0" fontId="24" numFmtId="164" xfId="0" applyBorder="1" applyFont="1" applyNumberFormat="1"/>
    <xf borderId="26" fillId="4" fontId="24" numFmtId="164" xfId="0" applyBorder="1" applyFont="1" applyNumberFormat="1"/>
    <xf borderId="32" fillId="0" fontId="7" numFmtId="164" xfId="0" applyBorder="1" applyFont="1" applyNumberFormat="1"/>
    <xf borderId="19" fillId="0" fontId="28" numFmtId="0" xfId="0" applyBorder="1" applyFont="1"/>
    <xf borderId="19" fillId="0" fontId="28" numFmtId="164" xfId="0" applyBorder="1" applyFont="1" applyNumberFormat="1"/>
    <xf borderId="26" fillId="4" fontId="28" numFmtId="164" xfId="0" applyBorder="1" applyFont="1" applyNumberFormat="1"/>
    <xf borderId="0" fillId="0" fontId="28" numFmtId="0" xfId="0" applyFont="1"/>
    <xf borderId="0" fillId="0" fontId="28" numFmtId="4" xfId="0" applyFont="1" applyNumberFormat="1"/>
    <xf borderId="0" fillId="0" fontId="28" numFmtId="164" xfId="0" applyFont="1" applyNumberFormat="1"/>
    <xf borderId="23" fillId="7" fontId="27" numFmtId="164" xfId="0" applyBorder="1" applyFont="1" applyNumberFormat="1"/>
    <xf borderId="23" fillId="7" fontId="9" numFmtId="164" xfId="0" applyBorder="1" applyFont="1" applyNumberFormat="1"/>
    <xf borderId="23" fillId="4" fontId="14" numFmtId="0" xfId="0" applyBorder="1" applyFont="1"/>
    <xf borderId="23" fillId="10" fontId="14" numFmtId="164" xfId="0" applyBorder="1" applyFill="1" applyFont="1" applyNumberFormat="1"/>
    <xf borderId="1" fillId="11" fontId="14" numFmtId="0" xfId="0" applyBorder="1" applyFill="1" applyFont="1"/>
    <xf borderId="23" fillId="11" fontId="14" numFmtId="169" xfId="0" applyAlignment="1" applyBorder="1" applyFont="1" applyNumberFormat="1">
      <alignment horizontal="center"/>
    </xf>
    <xf borderId="23" fillId="11" fontId="14" numFmtId="0" xfId="0" applyBorder="1" applyFont="1"/>
    <xf borderId="23" fillId="4" fontId="7" numFmtId="0" xfId="0" applyAlignment="1" applyBorder="1" applyFont="1">
      <alignment shrinkToFit="0" wrapText="1"/>
    </xf>
    <xf borderId="0" fillId="0" fontId="27" numFmtId="4" xfId="0" applyAlignment="1" applyFont="1" applyNumberFormat="1">
      <alignment horizontal="left"/>
    </xf>
    <xf borderId="0" fillId="0" fontId="27" numFmtId="0" xfId="0" applyAlignment="1" applyFont="1">
      <alignment horizontal="left"/>
    </xf>
    <xf borderId="23" fillId="0" fontId="26" numFmtId="164" xfId="0" applyBorder="1" applyFont="1" applyNumberFormat="1"/>
    <xf borderId="23" fillId="9" fontId="7" numFmtId="0" xfId="0" applyAlignment="1" applyBorder="1" applyFont="1">
      <alignment shrinkToFit="0" wrapText="1"/>
    </xf>
    <xf borderId="25" fillId="0" fontId="24" numFmtId="164" xfId="0" applyBorder="1" applyFont="1" applyNumberFormat="1"/>
    <xf borderId="23" fillId="8" fontId="14" numFmtId="164" xfId="0" applyBorder="1" applyFont="1" applyNumberFormat="1"/>
    <xf borderId="23" fillId="7" fontId="14" numFmtId="164" xfId="0" applyBorder="1" applyFont="1" applyNumberFormat="1"/>
    <xf borderId="1" fillId="4" fontId="14" numFmtId="164" xfId="0" applyBorder="1" applyFont="1" applyNumberFormat="1"/>
    <xf borderId="23" fillId="0" fontId="28" numFmtId="164" xfId="0" applyBorder="1" applyFont="1" applyNumberFormat="1"/>
    <xf borderId="1" fillId="4" fontId="29" numFmtId="164" xfId="0" applyBorder="1" applyFont="1" applyNumberFormat="1"/>
    <xf borderId="43" fillId="7" fontId="14" numFmtId="0" xfId="0" applyBorder="1" applyFont="1"/>
    <xf borderId="19" fillId="0" fontId="26" numFmtId="164" xfId="0" applyBorder="1" applyFont="1" applyNumberFormat="1"/>
    <xf borderId="23" fillId="4" fontId="24" numFmtId="164" xfId="0" applyAlignment="1" applyBorder="1" applyFont="1" applyNumberFormat="1">
      <alignment horizontal="right"/>
    </xf>
    <xf borderId="1" fillId="4" fontId="24" numFmtId="164" xfId="0" applyAlignment="1" applyBorder="1" applyFont="1" applyNumberFormat="1">
      <alignment horizontal="right"/>
    </xf>
    <xf borderId="37" fillId="4" fontId="24" numFmtId="164" xfId="0" applyAlignment="1" applyBorder="1" applyFont="1" applyNumberFormat="1">
      <alignment horizontal="right"/>
    </xf>
    <xf borderId="0" fillId="0" fontId="30" numFmtId="0" xfId="0" applyFont="1"/>
    <xf borderId="0" fillId="0" fontId="26" numFmtId="0" xfId="0" applyAlignment="1" applyFont="1">
      <alignment horizontal="center"/>
    </xf>
    <xf borderId="2" fillId="4" fontId="31" numFmtId="0" xfId="0" applyAlignment="1" applyBorder="1" applyFont="1">
      <alignment horizontal="center" shrinkToFit="0" vertical="top" wrapText="1"/>
    </xf>
    <xf borderId="1" fillId="4" fontId="31" numFmtId="0" xfId="0" applyAlignment="1" applyBorder="1" applyFont="1">
      <alignment horizontal="center" shrinkToFit="0" vertical="top" wrapText="1"/>
    </xf>
    <xf borderId="0" fillId="0" fontId="14" numFmtId="10" xfId="0" applyFont="1" applyNumberFormat="1"/>
    <xf borderId="0" fillId="0" fontId="7" numFmtId="10" xfId="0" applyFont="1" applyNumberFormat="1"/>
    <xf borderId="25" fillId="0" fontId="24" numFmtId="4" xfId="0" applyBorder="1" applyFont="1" applyNumberFormat="1"/>
    <xf borderId="0" fillId="0" fontId="24" numFmtId="2" xfId="0" applyFont="1" applyNumberFormat="1"/>
    <xf borderId="0" fillId="0" fontId="14" numFmtId="2" xfId="0" applyFont="1" applyNumberFormat="1"/>
    <xf borderId="0" fillId="0" fontId="24" numFmtId="4" xfId="0" applyFont="1" applyNumberFormat="1"/>
    <xf borderId="25" fillId="0" fontId="14" numFmtId="0" xfId="0" applyAlignment="1" applyBorder="1" applyFont="1">
      <alignment horizontal="left"/>
    </xf>
    <xf borderId="28" fillId="0" fontId="24" numFmtId="164" xfId="0" applyBorder="1" applyFont="1" applyNumberFormat="1"/>
    <xf borderId="0" fillId="0" fontId="7" numFmtId="0" xfId="0" applyAlignment="1" applyFont="1">
      <alignment horizontal="center"/>
    </xf>
    <xf borderId="0" fillId="0" fontId="7" numFmtId="167" xfId="0" applyAlignment="1" applyFont="1" applyNumberFormat="1">
      <alignment horizontal="center"/>
    </xf>
    <xf borderId="0" fillId="0" fontId="24" numFmtId="171" xfId="0" applyFont="1" applyNumberFormat="1"/>
    <xf borderId="0" fillId="0" fontId="7" numFmtId="171" xfId="0" applyAlignment="1" applyFont="1" applyNumberFormat="1">
      <alignment horizontal="right"/>
    </xf>
    <xf borderId="25" fillId="0" fontId="7" numFmtId="167" xfId="0" applyAlignment="1" applyBorder="1" applyFont="1" applyNumberFormat="1">
      <alignment horizontal="center"/>
    </xf>
    <xf borderId="25" fillId="0" fontId="4" numFmtId="0" xfId="0" applyBorder="1" applyFont="1"/>
    <xf borderId="0" fillId="0" fontId="14" numFmtId="0" xfId="0" applyAlignment="1" applyFont="1">
      <alignment horizontal="left"/>
    </xf>
    <xf borderId="0" fillId="0" fontId="7" numFmtId="0" xfId="0" applyAlignment="1" applyFont="1">
      <alignment horizontal="left"/>
    </xf>
    <xf borderId="23" fillId="0" fontId="7" numFmtId="0" xfId="0" applyAlignment="1" applyBorder="1" applyFont="1">
      <alignment horizontal="left" vertical="center"/>
    </xf>
    <xf borderId="23" fillId="0" fontId="7" numFmtId="4" xfId="0" applyAlignment="1" applyBorder="1" applyFont="1" applyNumberFormat="1">
      <alignment horizontal="right"/>
    </xf>
    <xf borderId="15" fillId="0" fontId="7" numFmtId="0" xfId="0" applyAlignment="1" applyBorder="1" applyFont="1">
      <alignment horizontal="left" shrinkToFit="0" vertical="center" wrapText="1"/>
    </xf>
    <xf borderId="32" fillId="0" fontId="7" numFmtId="4" xfId="0" applyAlignment="1" applyBorder="1" applyFont="1" applyNumberFormat="1">
      <alignment horizontal="right"/>
    </xf>
    <xf borderId="31" fillId="0" fontId="7" numFmtId="0" xfId="0" applyAlignment="1" applyBorder="1" applyFont="1">
      <alignment horizontal="left" shrinkToFit="0" wrapText="1"/>
    </xf>
    <xf borderId="0" fillId="0" fontId="7" numFmtId="171" xfId="0" applyAlignment="1" applyFont="1" applyNumberFormat="1">
      <alignment horizontal="center"/>
    </xf>
    <xf borderId="31" fillId="0" fontId="7" numFmtId="0" xfId="0" applyAlignment="1" applyBorder="1" applyFont="1">
      <alignment horizontal="left" shrinkToFit="0" vertical="center" wrapText="1"/>
    </xf>
    <xf borderId="44" fillId="4" fontId="7" numFmtId="0" xfId="0" applyAlignment="1" applyBorder="1" applyFont="1">
      <alignment horizontal="left"/>
    </xf>
    <xf borderId="0" fillId="0" fontId="14" numFmtId="171" xfId="0" applyAlignment="1" applyFont="1" applyNumberFormat="1">
      <alignment horizontal="center"/>
    </xf>
    <xf borderId="5" fillId="4" fontId="8" numFmtId="0" xfId="0" applyAlignment="1" applyBorder="1" applyFont="1">
      <alignment shrinkToFit="0" vertical="top" wrapText="1"/>
    </xf>
    <xf borderId="5" fillId="4" fontId="12" numFmtId="0" xfId="0" applyAlignment="1" applyBorder="1" applyFont="1">
      <alignment vertical="top"/>
    </xf>
    <xf borderId="5" fillId="4" fontId="12" numFmtId="0" xfId="0" applyBorder="1" applyFont="1"/>
    <xf borderId="12" fillId="0" fontId="0" numFmtId="0" xfId="0" applyAlignment="1" applyBorder="1" applyFont="1">
      <alignment horizontal="center" shrinkToFit="0" vertical="center" wrapText="1"/>
    </xf>
    <xf borderId="0" fillId="0" fontId="32" numFmtId="0" xfId="0" applyAlignment="1" applyFont="1">
      <alignment horizontal="center"/>
    </xf>
    <xf borderId="25" fillId="0" fontId="32" numFmtId="0" xfId="0" applyAlignment="1" applyBorder="1" applyFont="1">
      <alignment horizontal="center"/>
    </xf>
    <xf borderId="32" fillId="0" fontId="0" numFmtId="17" xfId="0" applyAlignment="1" applyBorder="1" applyFont="1" applyNumberFormat="1">
      <alignment horizontal="center" shrinkToFit="0" wrapText="1"/>
    </xf>
    <xf borderId="20" fillId="4" fontId="0" numFmtId="0" xfId="0" applyAlignment="1" applyBorder="1" applyFont="1">
      <alignment horizontal="center" shrinkToFit="0" wrapText="1"/>
    </xf>
    <xf borderId="19" fillId="0" fontId="0" numFmtId="0" xfId="0" applyAlignment="1" applyBorder="1" applyFont="1">
      <alignment shrinkToFit="0" vertical="top" wrapText="1"/>
    </xf>
    <xf borderId="19" fillId="0" fontId="32" numFmtId="0" xfId="0" applyBorder="1" applyFont="1"/>
    <xf borderId="32" fillId="0" fontId="32" numFmtId="164" xfId="0" applyAlignment="1" applyBorder="1" applyFont="1" applyNumberFormat="1">
      <alignment horizontal="right" shrinkToFit="0" vertical="top" wrapText="1"/>
    </xf>
    <xf borderId="32" fillId="0" fontId="32" numFmtId="0" xfId="0" applyAlignment="1" applyBorder="1" applyFont="1">
      <alignment horizontal="right" shrinkToFit="0" vertical="top" wrapText="1"/>
    </xf>
    <xf borderId="32" fillId="0" fontId="32" numFmtId="164" xfId="0" applyAlignment="1" applyBorder="1" applyFont="1" applyNumberFormat="1">
      <alignment horizontal="right" vertical="top"/>
    </xf>
    <xf borderId="32" fillId="0" fontId="32" numFmtId="4" xfId="0" applyAlignment="1" applyBorder="1" applyFont="1" applyNumberFormat="1">
      <alignment horizontal="right" vertical="top"/>
    </xf>
    <xf borderId="32" fillId="0" fontId="32" numFmtId="0" xfId="0" applyAlignment="1" applyBorder="1" applyFont="1">
      <alignment horizontal="right" vertical="top"/>
    </xf>
    <xf borderId="19" fillId="0" fontId="0" numFmtId="0" xfId="0" applyBorder="1" applyFont="1"/>
    <xf borderId="32" fillId="0" fontId="0" numFmtId="164" xfId="0" applyAlignment="1" applyBorder="1" applyFont="1" applyNumberFormat="1">
      <alignment horizontal="right" vertical="top"/>
    </xf>
    <xf borderId="32" fillId="0" fontId="0" numFmtId="4" xfId="0" applyAlignment="1" applyBorder="1" applyFont="1" applyNumberFormat="1">
      <alignment horizontal="right" vertical="top"/>
    </xf>
    <xf borderId="32" fillId="0" fontId="0" numFmtId="0" xfId="0" applyAlignment="1" applyBorder="1" applyFont="1">
      <alignment horizontal="right" vertical="top"/>
    </xf>
    <xf borderId="32" fillId="0" fontId="32" numFmtId="166" xfId="0" applyAlignment="1" applyBorder="1" applyFont="1" applyNumberFormat="1">
      <alignment horizontal="right" vertical="top"/>
    </xf>
    <xf borderId="20" fillId="6" fontId="33" numFmtId="164" xfId="0" applyAlignment="1" applyBorder="1" applyFont="1" applyNumberFormat="1">
      <alignment horizontal="right" vertical="top"/>
    </xf>
    <xf borderId="32" fillId="0" fontId="0" numFmtId="164" xfId="0" applyAlignment="1" applyBorder="1" applyFont="1" applyNumberFormat="1">
      <alignment horizontal="right"/>
    </xf>
    <xf borderId="32" fillId="0" fontId="0" numFmtId="0" xfId="0" applyAlignment="1" applyBorder="1" applyFont="1">
      <alignment horizontal="right"/>
    </xf>
    <xf borderId="19" fillId="0" fontId="32" numFmtId="0" xfId="0" applyAlignment="1" applyBorder="1" applyFont="1">
      <alignment vertical="top"/>
    </xf>
    <xf borderId="1" fillId="4" fontId="12" numFmtId="0" xfId="0" applyAlignment="1" applyBorder="1" applyFont="1">
      <alignment vertical="top"/>
    </xf>
    <xf borderId="5" fillId="4" fontId="12" numFmtId="4" xfId="0" applyBorder="1" applyFont="1" applyNumberFormat="1"/>
    <xf borderId="19" fillId="0" fontId="34" numFmtId="0" xfId="0" applyAlignment="1" applyBorder="1" applyFont="1">
      <alignment horizontal="center" vertical="center"/>
    </xf>
    <xf borderId="25" fillId="0" fontId="34" numFmtId="0" xfId="0" applyAlignment="1" applyBorder="1" applyFont="1">
      <alignment horizontal="center" vertical="center"/>
    </xf>
    <xf borderId="32" fillId="0" fontId="34" numFmtId="0" xfId="0" applyAlignment="1" applyBorder="1" applyFont="1">
      <alignment horizontal="center" shrinkToFit="0" wrapText="1"/>
    </xf>
    <xf borderId="1" fillId="4" fontId="12" numFmtId="167" xfId="0" applyAlignment="1" applyBorder="1" applyFont="1" applyNumberFormat="1">
      <alignment vertical="top"/>
    </xf>
    <xf borderId="32" fillId="0" fontId="12" numFmtId="167" xfId="0" applyAlignment="1" applyBorder="1" applyFont="1" applyNumberFormat="1">
      <alignment vertical="top"/>
    </xf>
    <xf borderId="1" fillId="4" fontId="12" numFmtId="14" xfId="0" applyAlignment="1" applyBorder="1" applyFont="1" applyNumberFormat="1">
      <alignment vertical="top"/>
    </xf>
    <xf borderId="1" fillId="4" fontId="12" numFmtId="168" xfId="0" applyBorder="1" applyFont="1" applyNumberFormat="1"/>
    <xf borderId="25" fillId="0" fontId="0" numFmtId="4" xfId="0" applyAlignment="1" applyBorder="1" applyFont="1" applyNumberFormat="1">
      <alignment horizontal="right" vertical="top"/>
    </xf>
    <xf borderId="1" fillId="4" fontId="12" numFmtId="4" xfId="0" applyBorder="1" applyFont="1" applyNumberFormat="1"/>
    <xf borderId="1" fillId="4" fontId="8" numFmtId="0" xfId="0" applyBorder="1" applyFont="1"/>
    <xf borderId="0" fillId="0" fontId="7" numFmtId="166" xfId="0" applyFont="1" applyNumberFormat="1"/>
    <xf borderId="23" fillId="0" fontId="15" numFmtId="0" xfId="0" applyAlignment="1" applyBorder="1" applyFont="1">
      <alignment horizontal="center"/>
    </xf>
    <xf borderId="0" fillId="0" fontId="35" numFmtId="0" xfId="0" applyFont="1"/>
    <xf borderId="23" fillId="0" fontId="4" numFmtId="172" xfId="0" applyAlignment="1" applyBorder="1" applyFont="1" applyNumberFormat="1">
      <alignment horizontal="center"/>
    </xf>
    <xf borderId="23" fillId="0" fontId="4" numFmtId="4" xfId="0" applyBorder="1" applyFont="1" applyNumberFormat="1"/>
    <xf borderId="23" fillId="0" fontId="4" numFmtId="0" xfId="0" applyAlignment="1" applyBorder="1" applyFont="1">
      <alignment horizontal="center"/>
    </xf>
    <xf borderId="8" fillId="0" fontId="4" numFmtId="172" xfId="0" applyAlignment="1" applyBorder="1" applyFont="1" applyNumberFormat="1">
      <alignment horizontal="center" vertical="center"/>
    </xf>
    <xf borderId="8" fillId="0" fontId="4" numFmtId="4" xfId="0" applyAlignment="1" applyBorder="1" applyFont="1" applyNumberFormat="1">
      <alignment vertical="center"/>
    </xf>
    <xf borderId="23" fillId="12" fontId="15" numFmtId="0" xfId="0" applyAlignment="1" applyBorder="1" applyFill="1" applyFont="1">
      <alignment horizontal="center"/>
    </xf>
    <xf borderId="23" fillId="12" fontId="15" numFmtId="4" xfId="0" applyBorder="1" applyFont="1" applyNumberFormat="1"/>
    <xf borderId="0" fillId="0" fontId="4" numFmtId="0" xfId="0" applyAlignment="1" applyFont="1">
      <alignment horizontal="center"/>
    </xf>
    <xf borderId="1" fillId="4" fontId="36" numFmtId="164" xfId="0" applyBorder="1" applyFont="1" applyNumberFormat="1"/>
    <xf borderId="0" fillId="0" fontId="12" numFmtId="169" xfId="0" applyAlignment="1" applyFont="1" applyNumberFormat="1">
      <alignment horizontal="right"/>
    </xf>
    <xf borderId="0" fillId="0" fontId="12" numFmtId="168" xfId="0" applyAlignment="1" applyFont="1" applyNumberFormat="1">
      <alignment horizontal="right"/>
    </xf>
    <xf borderId="0" fillId="0" fontId="15" numFmtId="0" xfId="0" applyFont="1"/>
    <xf borderId="0" fillId="0" fontId="13" numFmtId="168" xfId="0" applyFont="1" applyNumberFormat="1"/>
    <xf borderId="0" fillId="0" fontId="13" numFmtId="164" xfId="0" applyAlignment="1" applyFont="1" applyNumberFormat="1">
      <alignment horizontal="right"/>
    </xf>
    <xf borderId="0" fillId="0" fontId="15" numFmtId="164" xfId="0" applyFont="1" applyNumberFormat="1"/>
    <xf borderId="0" fillId="0" fontId="12" numFmtId="168" xfId="0" applyFont="1" applyNumberFormat="1"/>
    <xf borderId="0" fillId="0" fontId="12" numFmtId="164" xfId="0" applyAlignment="1" applyFont="1" applyNumberFormat="1">
      <alignment horizontal="right"/>
    </xf>
    <xf borderId="0" fillId="0" fontId="37" numFmtId="164" xfId="0" applyAlignment="1" applyFont="1" applyNumberFormat="1">
      <alignment horizontal="right"/>
    </xf>
    <xf borderId="0" fillId="0" fontId="38" numFmtId="168" xfId="0" applyFont="1" applyNumberFormat="1"/>
    <xf borderId="0" fillId="0" fontId="11" numFmtId="168" xfId="0" applyFont="1" applyNumberFormat="1"/>
    <xf borderId="0" fillId="0" fontId="12" numFmtId="164" xfId="0" applyFont="1" applyNumberFormat="1"/>
    <xf borderId="0" fillId="0" fontId="38" numFmtId="164" xfId="0" applyAlignment="1" applyFont="1" applyNumberFormat="1">
      <alignment horizontal="right"/>
    </xf>
    <xf borderId="0" fillId="0" fontId="39" numFmtId="168" xfId="0" applyFont="1" applyNumberFormat="1"/>
    <xf borderId="0" fillId="0" fontId="40" numFmtId="168" xfId="0" applyFont="1" applyNumberFormat="1"/>
    <xf borderId="0" fillId="0" fontId="4" numFmtId="172" xfId="0" applyFont="1" applyNumberFormat="1"/>
    <xf borderId="1" fillId="4" fontId="4" numFmtId="172" xfId="0" applyBorder="1" applyFont="1" applyNumberFormat="1"/>
    <xf borderId="1" fillId="4" fontId="5" numFmtId="0" xfId="0" applyAlignment="1" applyBorder="1" applyFont="1">
      <alignment horizontal="center" shrinkToFit="0" vertical="top" wrapText="1"/>
    </xf>
    <xf borderId="1" fillId="4" fontId="8" numFmtId="0" xfId="0" applyAlignment="1" applyBorder="1" applyFont="1">
      <alignment horizontal="center" shrinkToFit="0" vertical="top" wrapText="1"/>
    </xf>
    <xf borderId="0" fillId="0" fontId="19" numFmtId="0" xfId="0" applyFont="1"/>
    <xf borderId="45" fillId="4" fontId="8" numFmtId="0" xfId="0" applyAlignment="1" applyBorder="1" applyFont="1">
      <alignment horizontal="center"/>
    </xf>
    <xf borderId="45" fillId="4" fontId="5" numFmtId="0" xfId="0" applyAlignment="1" applyBorder="1" applyFont="1">
      <alignment horizontal="right"/>
    </xf>
    <xf borderId="8" fillId="8" fontId="8" numFmtId="0" xfId="0" applyAlignment="1" applyBorder="1" applyFont="1">
      <alignment horizontal="center" vertical="center"/>
    </xf>
    <xf borderId="8" fillId="8" fontId="8" numFmtId="0" xfId="0" applyAlignment="1" applyBorder="1" applyFont="1">
      <alignment horizontal="center" shrinkToFit="0" wrapText="1"/>
    </xf>
    <xf borderId="23" fillId="8" fontId="8" numFmtId="0" xfId="0" applyAlignment="1" applyBorder="1" applyFont="1">
      <alignment horizontal="center" shrinkToFit="0" vertical="center" wrapText="1"/>
    </xf>
    <xf borderId="23" fillId="4" fontId="8" numFmtId="0" xfId="0" applyBorder="1" applyFont="1"/>
    <xf borderId="23" fillId="4" fontId="8" numFmtId="4" xfId="0" applyAlignment="1" applyBorder="1" applyFont="1" applyNumberFormat="1">
      <alignment horizontal="right"/>
    </xf>
    <xf borderId="42" fillId="4" fontId="5" numFmtId="0" xfId="0" applyBorder="1" applyFont="1"/>
    <xf borderId="38" fillId="4" fontId="5" numFmtId="4" xfId="0" applyBorder="1" applyFont="1" applyNumberFormat="1"/>
    <xf borderId="23" fillId="4" fontId="8" numFmtId="4" xfId="0" applyBorder="1" applyFont="1" applyNumberFormat="1"/>
    <xf borderId="23" fillId="7" fontId="8" numFmtId="0" xfId="0" applyBorder="1" applyFont="1"/>
    <xf borderId="23" fillId="7" fontId="8" numFmtId="4" xfId="0" applyAlignment="1" applyBorder="1" applyFont="1" applyNumberFormat="1">
      <alignment horizontal="right"/>
    </xf>
    <xf borderId="46" fillId="4" fontId="5" numFmtId="0" xfId="0" applyAlignment="1" applyBorder="1" applyFont="1">
      <alignment horizontal="right"/>
    </xf>
    <xf borderId="25" fillId="0" fontId="41" numFmtId="0" xfId="0" applyBorder="1" applyFont="1"/>
    <xf borderId="25" fillId="0" fontId="42" numFmtId="0" xfId="0" applyAlignment="1" applyBorder="1" applyFont="1">
      <alignment horizontal="center"/>
    </xf>
    <xf borderId="25" fillId="0" fontId="43" numFmtId="0" xfId="0" applyBorder="1" applyFont="1"/>
    <xf borderId="19" fillId="0" fontId="44" numFmtId="0" xfId="0" applyAlignment="1" applyBorder="1" applyFont="1">
      <alignment horizontal="center"/>
    </xf>
    <xf borderId="32" fillId="0" fontId="44" numFmtId="0" xfId="0" applyAlignment="1" applyBorder="1" applyFont="1">
      <alignment horizontal="center"/>
    </xf>
    <xf borderId="32" fillId="0" fontId="44" numFmtId="49" xfId="0" applyAlignment="1" applyBorder="1" applyFont="1" applyNumberFormat="1">
      <alignment horizontal="center"/>
    </xf>
    <xf borderId="0" fillId="0" fontId="19" numFmtId="4" xfId="0" applyFont="1" applyNumberFormat="1"/>
    <xf borderId="12" fillId="0" fontId="45" numFmtId="0" xfId="0" applyBorder="1" applyFont="1"/>
    <xf borderId="22" fillId="0" fontId="45" numFmtId="40" xfId="0" applyAlignment="1" applyBorder="1" applyFont="1" applyNumberFormat="1">
      <alignment horizontal="right"/>
    </xf>
    <xf borderId="22" fillId="0" fontId="45" numFmtId="0" xfId="0" applyBorder="1" applyFont="1"/>
    <xf borderId="12" fillId="0" fontId="45" numFmtId="49" xfId="0" applyBorder="1" applyFont="1" applyNumberFormat="1"/>
    <xf borderId="22" fillId="0" fontId="45" numFmtId="49" xfId="0" applyBorder="1" applyFont="1" applyNumberFormat="1"/>
    <xf borderId="22" fillId="0" fontId="41" numFmtId="40" xfId="0" applyAlignment="1" applyBorder="1" applyFont="1" applyNumberFormat="1">
      <alignment horizontal="right"/>
    </xf>
    <xf borderId="22" fillId="0" fontId="44" numFmtId="0" xfId="0" applyBorder="1" applyFont="1"/>
    <xf borderId="22" fillId="0" fontId="44" numFmtId="40" xfId="0" applyAlignment="1" applyBorder="1" applyFont="1" applyNumberFormat="1">
      <alignment horizontal="right"/>
    </xf>
    <xf borderId="25" fillId="0" fontId="19" numFmtId="4" xfId="0" applyBorder="1" applyFont="1" applyNumberFormat="1"/>
    <xf borderId="12" fillId="0" fontId="44" numFmtId="49" xfId="0" applyBorder="1" applyFont="1" applyNumberFormat="1"/>
    <xf borderId="1" fillId="6" fontId="19" numFmtId="4" xfId="0" applyBorder="1" applyFont="1" applyNumberFormat="1"/>
    <xf borderId="47" fillId="0" fontId="19" numFmtId="0" xfId="0" applyAlignment="1" applyBorder="1" applyFont="1">
      <alignment vertical="top"/>
    </xf>
    <xf borderId="48" fillId="0" fontId="46" numFmtId="0" xfId="0" applyAlignment="1" applyBorder="1" applyFont="1">
      <alignment vertical="top"/>
    </xf>
    <xf borderId="49" fillId="0" fontId="43" numFmtId="0" xfId="0" applyBorder="1" applyFont="1"/>
    <xf borderId="19" fillId="0" fontId="43" numFmtId="49" xfId="0" applyBorder="1" applyFont="1" applyNumberFormat="1"/>
    <xf borderId="32" fillId="0" fontId="44" numFmtId="40" xfId="0" applyAlignment="1" applyBorder="1" applyFont="1" applyNumberFormat="1">
      <alignment horizontal="right"/>
    </xf>
    <xf borderId="32" fillId="0" fontId="43" numFmtId="49" xfId="0" applyBorder="1" applyFont="1" applyNumberFormat="1"/>
    <xf borderId="32" fillId="0" fontId="43" numFmtId="40" xfId="0" applyBorder="1" applyFont="1" applyNumberFormat="1"/>
    <xf borderId="19" fillId="0" fontId="45" numFmtId="49" xfId="0" applyBorder="1" applyFont="1" applyNumberFormat="1"/>
    <xf borderId="32" fillId="0" fontId="45" numFmtId="49" xfId="0" applyBorder="1" applyFont="1" applyNumberFormat="1"/>
    <xf borderId="19" fillId="0" fontId="47" numFmtId="49" xfId="0" applyAlignment="1" applyBorder="1" applyFont="1" applyNumberFormat="1">
      <alignment shrinkToFit="0" wrapText="1"/>
    </xf>
    <xf borderId="32" fillId="0" fontId="47" numFmtId="49" xfId="0" applyAlignment="1" applyBorder="1" applyFont="1" applyNumberFormat="1">
      <alignment shrinkToFit="0" wrapText="1"/>
    </xf>
    <xf borderId="31" fillId="0" fontId="45" numFmtId="49" xfId="0" applyBorder="1" applyFont="1" applyNumberFormat="1"/>
    <xf borderId="25" fillId="0" fontId="43" numFmtId="40" xfId="0" applyBorder="1" applyFont="1" applyNumberFormat="1"/>
    <xf borderId="32" fillId="0" fontId="41" numFmtId="40" xfId="0" applyAlignment="1" applyBorder="1" applyFont="1" applyNumberFormat="1">
      <alignment horizontal="right"/>
    </xf>
    <xf borderId="1" fillId="6" fontId="18" numFmtId="4" xfId="0" applyBorder="1" applyFont="1" applyNumberFormat="1"/>
    <xf borderId="25" fillId="0" fontId="43" numFmtId="49" xfId="0" applyBorder="1" applyFont="1" applyNumberFormat="1"/>
    <xf borderId="31" fillId="0" fontId="44" numFmtId="49" xfId="0" applyAlignment="1" applyBorder="1" applyFont="1" applyNumberFormat="1">
      <alignment horizontal="center"/>
    </xf>
    <xf borderId="22" fillId="0" fontId="43" numFmtId="49" xfId="0" applyBorder="1" applyFont="1" applyNumberFormat="1"/>
    <xf borderId="22" fillId="0" fontId="43" numFmtId="40" xfId="0" applyBorder="1" applyFont="1" applyNumberFormat="1"/>
    <xf borderId="12" fillId="0" fontId="43" numFmtId="49" xfId="0" applyBorder="1" applyFont="1" applyNumberFormat="1"/>
    <xf borderId="0" fillId="0" fontId="18" numFmtId="4" xfId="0" applyFont="1" applyNumberFormat="1"/>
    <xf borderId="25" fillId="0" fontId="45" numFmtId="49" xfId="0" applyBorder="1" applyFont="1" applyNumberFormat="1"/>
    <xf borderId="1" fillId="4" fontId="8" numFmtId="0" xfId="0" applyAlignment="1" applyBorder="1" applyFont="1">
      <alignment horizontal="center"/>
    </xf>
    <xf borderId="1" fillId="4" fontId="5" numFmtId="0" xfId="0" applyAlignment="1" applyBorder="1" applyFont="1">
      <alignment horizontal="right"/>
    </xf>
    <xf borderId="50" fillId="8" fontId="8" numFmtId="0" xfId="0" applyAlignment="1" applyBorder="1" applyFont="1">
      <alignment horizontal="center" vertical="center"/>
    </xf>
    <xf borderId="15" fillId="8" fontId="8" numFmtId="0" xfId="0" applyAlignment="1" applyBorder="1" applyFont="1">
      <alignment horizontal="center" shrinkToFit="0" vertical="center" wrapText="1"/>
    </xf>
    <xf borderId="1" fillId="4" fontId="8" numFmtId="0" xfId="0" applyAlignment="1" applyBorder="1" applyFont="1">
      <alignment horizontal="center" shrinkToFit="0" vertical="center" wrapText="1"/>
    </xf>
    <xf borderId="15" fillId="4" fontId="8" numFmtId="0" xfId="0" applyAlignment="1" applyBorder="1" applyFont="1">
      <alignment horizontal="right"/>
    </xf>
    <xf borderId="1" fillId="4" fontId="8" numFmtId="0" xfId="0" applyAlignment="1" applyBorder="1" applyFont="1">
      <alignment horizontal="right"/>
    </xf>
    <xf borderId="2" fillId="4" fontId="5" numFmtId="4" xfId="0" applyBorder="1" applyFont="1" applyNumberFormat="1"/>
    <xf borderId="1" fillId="4" fontId="5" numFmtId="4" xfId="0" applyBorder="1" applyFont="1" applyNumberFormat="1"/>
    <xf borderId="26" fillId="4" fontId="5" numFmtId="0" xfId="0" applyBorder="1" applyFont="1"/>
    <xf borderId="6" fillId="4" fontId="5" numFmtId="4" xfId="0" applyBorder="1" applyFont="1" applyNumberFormat="1"/>
    <xf borderId="1" fillId="4" fontId="8" numFmtId="4" xfId="0" applyBorder="1" applyFont="1" applyNumberFormat="1"/>
    <xf borderId="42" fillId="4" fontId="5" numFmtId="173" xfId="0" applyAlignment="1" applyBorder="1" applyFont="1" applyNumberFormat="1">
      <alignment horizontal="center"/>
    </xf>
    <xf borderId="5" fillId="4" fontId="5" numFmtId="4" xfId="0" applyBorder="1" applyFont="1" applyNumberFormat="1"/>
    <xf borderId="26" fillId="4" fontId="5" numFmtId="173" xfId="0" applyAlignment="1" applyBorder="1" applyFont="1" applyNumberFormat="1">
      <alignment horizontal="center"/>
    </xf>
    <xf borderId="1" fillId="4" fontId="5" numFmtId="0" xfId="0" applyBorder="1" applyFont="1"/>
    <xf borderId="23" fillId="7" fontId="8" numFmtId="0" xfId="0" applyAlignment="1" applyBorder="1" applyFont="1">
      <alignment horizontal="center" vertical="center"/>
    </xf>
    <xf borderId="41" fillId="7" fontId="8" numFmtId="4" xfId="0" applyAlignment="1" applyBorder="1" applyFont="1" applyNumberFormat="1">
      <alignment horizontal="center" shrinkToFit="0" vertical="center" wrapText="1"/>
    </xf>
    <xf borderId="23" fillId="7" fontId="8" numFmtId="4" xfId="0" applyAlignment="1" applyBorder="1" applyFont="1" applyNumberFormat="1">
      <alignment horizontal="center" shrinkToFit="0" vertical="center" wrapText="1"/>
    </xf>
    <xf borderId="1" fillId="4" fontId="8" numFmtId="4" xfId="0" applyAlignment="1" applyBorder="1" applyFont="1" applyNumberFormat="1">
      <alignment horizontal="right"/>
    </xf>
    <xf borderId="23" fillId="4" fontId="5" numFmtId="0" xfId="0" applyBorder="1" applyFont="1"/>
    <xf borderId="23" fillId="4" fontId="5" numFmtId="4" xfId="0" applyAlignment="1" applyBorder="1" applyFont="1" applyNumberFormat="1">
      <alignment horizontal="right"/>
    </xf>
    <xf borderId="30" fillId="0" fontId="7" numFmtId="0" xfId="0" applyAlignment="1" applyBorder="1" applyFont="1">
      <alignment horizontal="left"/>
    </xf>
    <xf borderId="30" fillId="0" fontId="24" numFmtId="164" xfId="0" applyBorder="1" applyFont="1" applyNumberFormat="1"/>
    <xf borderId="8" fillId="0" fontId="24" numFmtId="164" xfId="0" applyBorder="1" applyFont="1" applyNumberFormat="1"/>
    <xf borderId="12" fillId="0" fontId="27" numFmtId="164" xfId="0" applyBorder="1" applyFont="1" applyNumberFormat="1"/>
    <xf borderId="30" fillId="0" fontId="7" numFmtId="0" xfId="0" applyAlignment="1" applyBorder="1" applyFont="1">
      <alignment shrinkToFit="0" wrapText="1"/>
    </xf>
    <xf borderId="23" fillId="8" fontId="7" numFmtId="0" xfId="0" applyBorder="1" applyFont="1"/>
    <xf borderId="1" fillId="8" fontId="27" numFmtId="164" xfId="0" applyBorder="1" applyFont="1" applyNumberFormat="1"/>
    <xf borderId="37" fillId="8" fontId="27" numFmtId="164" xfId="0" applyBorder="1" applyFont="1" applyNumberFormat="1"/>
    <xf borderId="1" fillId="7" fontId="14" numFmtId="0" xfId="0" applyBorder="1" applyFont="1"/>
    <xf borderId="23" fillId="0" fontId="7" numFmtId="0" xfId="0" applyBorder="1" applyFont="1"/>
    <xf borderId="23" fillId="7" fontId="7" numFmtId="0" xfId="0" applyBorder="1" applyFont="1"/>
    <xf borderId="23" fillId="0" fontId="7" numFmtId="0" xfId="0" applyAlignment="1" applyBorder="1" applyFont="1">
      <alignment shrinkToFit="0" wrapText="1"/>
    </xf>
    <xf borderId="23" fillId="0" fontId="24" numFmtId="4" xfId="0" applyBorder="1" applyFont="1" applyNumberFormat="1"/>
    <xf borderId="23" fillId="6" fontId="24" numFmtId="164" xfId="0" applyBorder="1" applyFont="1" applyNumberFormat="1"/>
    <xf borderId="23" fillId="4" fontId="28" numFmtId="0" xfId="0" applyBorder="1" applyFont="1"/>
    <xf borderId="31" fillId="0" fontId="7" numFmtId="0" xfId="0" applyAlignment="1" applyBorder="1" applyFont="1">
      <alignment horizontal="left"/>
    </xf>
    <xf borderId="42" fillId="13" fontId="24" numFmtId="164" xfId="0" applyBorder="1" applyFill="1" applyFont="1" applyNumberFormat="1"/>
    <xf borderId="1" fillId="4" fontId="48" numFmtId="0" xfId="0" applyBorder="1" applyFont="1"/>
    <xf borderId="0" fillId="0" fontId="7" numFmtId="21" xfId="0" applyFont="1" applyNumberFormat="1"/>
    <xf borderId="0" fillId="0" fontId="14" numFmtId="21" xfId="0" applyFont="1" applyNumberFormat="1"/>
    <xf borderId="23" fillId="6" fontId="14" numFmtId="164" xfId="0" applyBorder="1" applyFont="1" applyNumberFormat="1"/>
    <xf borderId="23" fillId="0" fontId="28" numFmtId="0" xfId="0" applyBorder="1" applyFont="1"/>
    <xf borderId="2" fillId="14" fontId="32" numFmtId="0" xfId="0" applyAlignment="1" applyBorder="1" applyFill="1" applyFont="1">
      <alignment horizontal="center"/>
    </xf>
    <xf borderId="1" fillId="14" fontId="32" numFmtId="0" xfId="0" applyAlignment="1" applyBorder="1" applyFont="1">
      <alignment horizontal="center"/>
    </xf>
    <xf borderId="0" fillId="0" fontId="49" numFmtId="0" xfId="0" applyFont="1"/>
    <xf borderId="0" fillId="0" fontId="0" numFmtId="17" xfId="0" applyAlignment="1" applyFont="1" applyNumberFormat="1">
      <alignment horizontal="center"/>
    </xf>
    <xf borderId="0" fillId="0" fontId="49" numFmtId="4" xfId="0" applyFont="1" applyNumberFormat="1"/>
    <xf borderId="1" fillId="14" fontId="32" numFmtId="4" xfId="0" applyBorder="1" applyFont="1" applyNumberFormat="1"/>
    <xf borderId="0" fillId="0" fontId="0" numFmtId="10" xfId="0" applyFont="1" applyNumberFormat="1"/>
    <xf borderId="0" fillId="0" fontId="0" numFmtId="4" xfId="0" applyFont="1" applyNumberFormat="1"/>
    <xf borderId="0" fillId="0" fontId="0" numFmtId="0" xfId="0" applyAlignment="1" applyFont="1">
      <alignment horizontal="center"/>
    </xf>
    <xf borderId="1" fillId="14" fontId="32" numFmtId="0" xfId="0" applyBorder="1" applyFont="1"/>
    <xf borderId="0" fillId="0" fontId="0" numFmtId="168" xfId="0" applyFont="1" applyNumberFormat="1"/>
    <xf borderId="0" fillId="0" fontId="50" numFmtId="0" xfId="0" applyFont="1"/>
    <xf borderId="25" fillId="0" fontId="0" numFmtId="168" xfId="0" applyAlignment="1" applyBorder="1" applyFont="1" applyNumberFormat="1">
      <alignment horizontal="center"/>
    </xf>
    <xf borderId="0" fillId="0" fontId="5" numFmtId="0" xfId="0" applyFont="1"/>
    <xf borderId="0" fillId="0" fontId="0" numFmtId="174" xfId="0" applyFont="1" applyNumberFormat="1"/>
    <xf borderId="25" fillId="0" fontId="0" numFmtId="174" xfId="0" applyBorder="1" applyFont="1" applyNumberFormat="1"/>
    <xf borderId="25" fillId="0" fontId="0" numFmtId="168" xfId="0" applyBorder="1" applyFont="1" applyNumberFormat="1"/>
    <xf borderId="25" fillId="0" fontId="0" numFmtId="0" xfId="0" applyBorder="1" applyFont="1"/>
    <xf borderId="0" fillId="0" fontId="51" numFmtId="0" xfId="0" applyFont="1"/>
    <xf borderId="0" fillId="0" fontId="52" numFmtId="0" xfId="0" applyFont="1"/>
    <xf borderId="0" fillId="0" fontId="0" numFmtId="0" xfId="0" applyAlignment="1" applyFont="1">
      <alignment shrinkToFit="0" wrapText="1"/>
    </xf>
    <xf borderId="0" fillId="0" fontId="49" numFmtId="0" xfId="0" applyAlignment="1" applyFont="1">
      <alignment shrinkToFit="0" wrapText="1"/>
    </xf>
    <xf borderId="1" fillId="4" fontId="0" numFmtId="0" xfId="0" applyAlignment="1" applyBorder="1" applyFont="1">
      <alignment shrinkToFit="0" wrapText="1"/>
    </xf>
    <xf borderId="51" fillId="0" fontId="53" numFmtId="0" xfId="0" applyAlignment="1" applyBorder="1" applyFont="1">
      <alignment horizontal="center"/>
    </xf>
    <xf borderId="52" fillId="0" fontId="6" numFmtId="0" xfId="0" applyBorder="1" applyFont="1"/>
    <xf borderId="53" fillId="0" fontId="6" numFmtId="0" xfId="0" applyBorder="1" applyFont="1"/>
    <xf borderId="54" fillId="0" fontId="53" numFmtId="0" xfId="0" applyAlignment="1" applyBorder="1" applyFont="1">
      <alignment horizontal="center"/>
    </xf>
    <xf borderId="55" fillId="0" fontId="53" numFmtId="0" xfId="0" applyAlignment="1" applyBorder="1" applyFont="1">
      <alignment horizontal="center"/>
    </xf>
    <xf borderId="55" fillId="0" fontId="53" numFmtId="0" xfId="0" applyAlignment="1" applyBorder="1" applyFont="1">
      <alignment horizontal="center" shrinkToFit="0" wrapText="1"/>
    </xf>
    <xf borderId="54" fillId="0" fontId="54" numFmtId="0" xfId="0" applyAlignment="1" applyBorder="1" applyFont="1">
      <alignment horizontal="center"/>
    </xf>
    <xf borderId="55" fillId="0" fontId="54" numFmtId="0" xfId="0" applyBorder="1" applyFont="1"/>
    <xf borderId="55" fillId="0" fontId="55" numFmtId="0" xfId="0" applyAlignment="1" applyBorder="1" applyFont="1">
      <alignment horizontal="right"/>
    </xf>
    <xf borderId="51" fillId="0" fontId="53" numFmtId="0" xfId="0" applyBorder="1" applyFont="1"/>
    <xf borderId="55" fillId="0" fontId="53" numFmtId="0" xfId="0" applyAlignment="1" applyBorder="1" applyFont="1">
      <alignment horizontal="right"/>
    </xf>
    <xf borderId="0" fillId="0" fontId="51" numFmtId="0" xfId="0" applyAlignment="1" applyFont="1">
      <alignment shrinkToFit="0" wrapText="1"/>
    </xf>
    <xf borderId="54" fillId="0" fontId="55" numFmtId="0" xfId="0" applyAlignment="1" applyBorder="1" applyFont="1">
      <alignment horizontal="center"/>
    </xf>
    <xf borderId="55" fillId="0" fontId="55" numFmtId="0" xfId="0" applyBorder="1" applyFont="1"/>
    <xf borderId="0" fillId="0" fontId="56" numFmtId="0" xfId="0" applyFont="1"/>
    <xf borderId="51" fillId="0" fontId="57" numFmtId="0" xfId="0" applyAlignment="1" applyBorder="1" applyFont="1">
      <alignment horizontal="center"/>
    </xf>
    <xf borderId="54" fillId="0" fontId="57" numFmtId="0" xfId="0" applyAlignment="1" applyBorder="1" applyFont="1">
      <alignment horizontal="center"/>
    </xf>
    <xf borderId="55" fillId="0" fontId="57" numFmtId="0" xfId="0" applyAlignment="1" applyBorder="1" applyFont="1">
      <alignment horizontal="center"/>
    </xf>
    <xf borderId="55" fillId="0" fontId="57" numFmtId="0" xfId="0" applyAlignment="1" applyBorder="1" applyFont="1">
      <alignment horizontal="center" shrinkToFit="0" wrapText="1"/>
    </xf>
    <xf borderId="54" fillId="0" fontId="58" numFmtId="0" xfId="0" applyAlignment="1" applyBorder="1" applyFont="1">
      <alignment horizontal="center"/>
    </xf>
    <xf borderId="55" fillId="0" fontId="58" numFmtId="0" xfId="0" applyBorder="1" applyFont="1"/>
    <xf borderId="55" fillId="0" fontId="59" numFmtId="0" xfId="0" applyAlignment="1" applyBorder="1" applyFont="1">
      <alignment horizontal="right"/>
    </xf>
    <xf borderId="51" fillId="0" fontId="53" numFmtId="0" xfId="0" applyAlignment="1" applyBorder="1" applyFont="1">
      <alignment horizontal="center" shrinkToFit="0" wrapText="1"/>
    </xf>
    <xf borderId="55" fillId="0" fontId="57" numFmtId="0" xfId="0" applyAlignment="1" applyBorder="1" applyFont="1">
      <alignment horizontal="right"/>
    </xf>
    <xf borderId="1" fillId="4" fontId="51" numFmtId="0" xfId="0" applyAlignment="1" applyBorder="1" applyFont="1">
      <alignment shrinkToFit="0" wrapText="1"/>
    </xf>
    <xf borderId="0" fillId="0" fontId="60" numFmtId="0" xfId="0" applyFont="1"/>
    <xf borderId="51" fillId="14" fontId="57" numFmtId="0" xfId="0" applyAlignment="1" applyBorder="1" applyFont="1">
      <alignment horizontal="center" shrinkToFit="0" wrapText="1"/>
    </xf>
    <xf borderId="56" fillId="4" fontId="57" numFmtId="0" xfId="0" applyAlignment="1" applyBorder="1" applyFont="1">
      <alignment horizontal="center"/>
    </xf>
    <xf borderId="57" fillId="4" fontId="57" numFmtId="0" xfId="0" applyAlignment="1" applyBorder="1" applyFont="1">
      <alignment horizontal="center"/>
    </xf>
    <xf borderId="57" fillId="4" fontId="57" numFmtId="0" xfId="0" applyAlignment="1" applyBorder="1" applyFont="1">
      <alignment horizontal="center" shrinkToFit="0" wrapText="1"/>
    </xf>
    <xf borderId="56" fillId="4" fontId="61" numFmtId="0" xfId="0" applyAlignment="1" applyBorder="1" applyFont="1">
      <alignment horizontal="center"/>
    </xf>
    <xf borderId="57" fillId="4" fontId="61" numFmtId="0" xfId="0" applyBorder="1" applyFont="1"/>
    <xf borderId="57" fillId="4" fontId="60" numFmtId="0" xfId="0" applyAlignment="1" applyBorder="1" applyFont="1">
      <alignment horizontal="right"/>
    </xf>
    <xf borderId="57" fillId="4" fontId="59" numFmtId="0" xfId="0" applyAlignment="1" applyBorder="1" applyFont="1">
      <alignment horizontal="right"/>
    </xf>
    <xf borderId="51" fillId="4" fontId="53" numFmtId="0" xfId="0" applyAlignment="1" applyBorder="1" applyFont="1">
      <alignment horizontal="center" shrinkToFit="0" wrapText="1"/>
    </xf>
    <xf borderId="58" fillId="4" fontId="62" numFmtId="0" xfId="0" applyAlignment="1" applyBorder="1" applyFont="1">
      <alignment horizontal="right"/>
    </xf>
    <xf borderId="58" fillId="4" fontId="57" numFmtId="0" xfId="0" applyAlignment="1" applyBorder="1" applyFont="1">
      <alignment horizontal="right"/>
    </xf>
    <xf borderId="51" fillId="4" fontId="57" numFmtId="0" xfId="0" applyBorder="1" applyFont="1"/>
    <xf borderId="59" fillId="4" fontId="57" numFmtId="0" xfId="0" applyAlignment="1" applyBorder="1" applyFont="1">
      <alignment horizontal="right"/>
    </xf>
    <xf borderId="60" fillId="4" fontId="57" numFmtId="0" xfId="0" applyAlignment="1" applyBorder="1" applyFont="1">
      <alignment horizontal="right"/>
    </xf>
    <xf borderId="61" fillId="4" fontId="57" numFmtId="0" xfId="0" applyAlignment="1" applyBorder="1" applyFont="1">
      <alignment horizontal="right"/>
    </xf>
    <xf borderId="61" fillId="4" fontId="62" numFmtId="0" xfId="0" applyAlignment="1" applyBorder="1" applyFont="1">
      <alignment horizontal="right"/>
    </xf>
    <xf borderId="51" fillId="0" fontId="57" numFmtId="0" xfId="0" applyBorder="1" applyFont="1"/>
    <xf borderId="55" fillId="0" fontId="57" numFmtId="0" xfId="0" applyBorder="1" applyFont="1"/>
    <xf borderId="54" fillId="0" fontId="57" numFmtId="0" xfId="0" applyAlignment="1" applyBorder="1" applyFont="1">
      <alignment horizontal="center" vertical="top"/>
    </xf>
    <xf borderId="55" fillId="0" fontId="57" numFmtId="0" xfId="0" applyAlignment="1" applyBorder="1" applyFont="1">
      <alignment horizontal="center" shrinkToFit="0" vertical="top" wrapText="1"/>
    </xf>
    <xf borderId="55" fillId="0" fontId="57" numFmtId="0" xfId="0" applyAlignment="1" applyBorder="1" applyFont="1">
      <alignment horizontal="center" vertical="top"/>
    </xf>
    <xf borderId="54" fillId="0" fontId="59" numFmtId="0" xfId="0" applyBorder="1" applyFont="1"/>
    <xf borderId="55" fillId="0" fontId="63" numFmtId="0" xfId="0" applyAlignment="1" applyBorder="1" applyFont="1">
      <alignment horizontal="left" shrinkToFit="0" vertical="top" wrapText="1"/>
    </xf>
    <xf borderId="54" fillId="0" fontId="57" numFmtId="0" xfId="0" applyAlignment="1" applyBorder="1" applyFont="1">
      <alignment vertical="top"/>
    </xf>
    <xf borderId="54" fillId="0" fontId="59" numFmtId="0" xfId="0" applyAlignment="1" applyBorder="1" applyFont="1">
      <alignment vertical="top"/>
    </xf>
    <xf borderId="55" fillId="0" fontId="57" numFmtId="0" xfId="0" applyAlignment="1" applyBorder="1" applyFont="1">
      <alignment horizontal="right" vertical="top"/>
    </xf>
    <xf borderId="55" fillId="0" fontId="63" numFmtId="0" xfId="0" applyAlignment="1" applyBorder="1" applyFont="1">
      <alignment horizontal="left" shrinkToFit="0" wrapText="1"/>
    </xf>
    <xf borderId="1" fillId="4" fontId="51" numFmtId="0" xfId="0" applyAlignment="1" applyBorder="1" applyFont="1">
      <alignment shrinkToFit="0" vertical="top" wrapText="1"/>
    </xf>
    <xf borderId="54" fillId="0" fontId="59" numFmtId="0" xfId="0" applyAlignment="1" applyBorder="1" applyFont="1">
      <alignment horizontal="center"/>
    </xf>
    <xf borderId="55" fillId="0" fontId="59" numFmtId="0" xfId="0" applyBorder="1" applyFont="1"/>
    <xf borderId="55" fillId="0" fontId="59" numFmtId="0" xfId="0" applyAlignment="1" applyBorder="1" applyFont="1">
      <alignment shrinkToFit="0" wrapText="1"/>
    </xf>
    <xf borderId="54" fillId="0" fontId="64" numFmtId="0" xfId="0" applyAlignment="1" applyBorder="1" applyFont="1">
      <alignment horizontal="center"/>
    </xf>
    <xf borderId="55" fillId="0" fontId="64" numFmtId="0" xfId="0" applyAlignment="1" applyBorder="1" applyFont="1">
      <alignment shrinkToFit="0" wrapText="1"/>
    </xf>
    <xf borderId="55" fillId="0" fontId="64" numFmtId="0" xfId="0" applyAlignment="1" applyBorder="1" applyFont="1">
      <alignment horizontal="right"/>
    </xf>
    <xf borderId="55" fillId="0" fontId="64" numFmtId="0" xfId="0" applyBorder="1" applyFont="1"/>
    <xf borderId="0" fillId="0" fontId="31" numFmtId="0" xfId="0" applyFont="1"/>
    <xf borderId="0" fillId="0" fontId="31" numFmtId="0" xfId="0" applyAlignment="1" applyFont="1">
      <alignment shrinkToFit="0" wrapText="1"/>
    </xf>
    <xf borderId="0" fillId="0" fontId="39" numFmtId="0" xfId="0" applyFont="1"/>
    <xf borderId="1" fillId="4" fontId="39" numFmtId="0" xfId="0" applyBorder="1" applyFont="1"/>
    <xf borderId="0" fillId="0" fontId="65" numFmtId="0" xfId="0" applyFont="1"/>
    <xf borderId="62" fillId="14" fontId="65" numFmtId="175" xfId="0" applyAlignment="1" applyBorder="1" applyFont="1" applyNumberFormat="1">
      <alignment horizontal="center"/>
    </xf>
    <xf borderId="0" fillId="0" fontId="66" numFmtId="4" xfId="0" applyFont="1" applyNumberFormat="1"/>
    <xf borderId="0" fillId="0" fontId="66" numFmtId="0" xfId="0" applyFont="1"/>
    <xf borderId="0" fillId="0" fontId="15" numFmtId="0" xfId="0" applyAlignment="1" applyFont="1">
      <alignment horizontal="center"/>
    </xf>
    <xf borderId="0" fillId="0" fontId="4" numFmtId="4" xfId="0" applyAlignment="1" applyFont="1" applyNumberFormat="1">
      <alignment horizontal="right"/>
    </xf>
    <xf borderId="0" fillId="0" fontId="4" numFmtId="0" xfId="0" applyAlignment="1" applyFont="1">
      <alignment horizontal="right"/>
    </xf>
    <xf borderId="0" fillId="0" fontId="4" numFmtId="176" xfId="0" applyFont="1" applyNumberFormat="1"/>
    <xf borderId="0" fillId="0" fontId="0" numFmtId="0" xfId="0" applyAlignment="1" applyFont="1">
      <alignment horizontal="left" vertical="top"/>
    </xf>
    <xf borderId="16" fillId="0" fontId="67" numFmtId="0" xfId="0" applyAlignment="1" applyBorder="1" applyFont="1">
      <alignment horizontal="left"/>
    </xf>
    <xf borderId="16" fillId="0" fontId="67" numFmtId="0" xfId="0" applyBorder="1" applyFont="1"/>
    <xf borderId="17" fillId="0" fontId="67" numFmtId="0" xfId="0" applyBorder="1" applyFont="1"/>
    <xf borderId="0" fillId="0" fontId="55" numFmtId="0" xfId="0" applyAlignment="1" applyFont="1">
      <alignment horizontal="left" vertical="top"/>
    </xf>
    <xf borderId="28" fillId="0" fontId="68" numFmtId="0" xfId="0" applyAlignment="1" applyBorder="1" applyFont="1">
      <alignment horizontal="left" vertical="top"/>
    </xf>
    <xf borderId="0" fillId="0" fontId="55" numFmtId="4" xfId="0" applyAlignment="1" applyFont="1" applyNumberFormat="1">
      <alignment horizontal="right" vertical="top"/>
    </xf>
    <xf borderId="0" fillId="0" fontId="68" numFmtId="0" xfId="0" applyAlignment="1" applyFont="1">
      <alignment horizontal="left" vertical="top"/>
    </xf>
    <xf borderId="28" fillId="0" fontId="55" numFmtId="4" xfId="0" applyAlignment="1" applyBorder="1" applyFont="1" applyNumberFormat="1">
      <alignment horizontal="right" vertical="top"/>
    </xf>
    <xf borderId="1" fillId="6" fontId="0" numFmtId="0" xfId="0" applyAlignment="1" applyBorder="1" applyFont="1">
      <alignment horizontal="left" vertical="top"/>
    </xf>
    <xf borderId="28" fillId="0" fontId="55" numFmtId="0" xfId="0" applyAlignment="1" applyBorder="1" applyFont="1">
      <alignment horizontal="right" vertical="top"/>
    </xf>
    <xf borderId="25" fillId="0" fontId="55" numFmtId="4" xfId="0" applyAlignment="1" applyBorder="1" applyFont="1" applyNumberFormat="1">
      <alignment horizontal="right" vertical="top"/>
    </xf>
    <xf borderId="22" fillId="0" fontId="55" numFmtId="4" xfId="0" applyAlignment="1" applyBorder="1" applyFont="1" applyNumberFormat="1">
      <alignment horizontal="right" vertical="top"/>
    </xf>
    <xf borderId="28" fillId="0" fontId="0" numFmtId="0" xfId="0" applyAlignment="1" applyBorder="1" applyFont="1">
      <alignment vertical="top"/>
    </xf>
    <xf borderId="0" fillId="0" fontId="0" numFmtId="0" xfId="0" applyAlignment="1" applyFont="1">
      <alignment vertical="top"/>
    </xf>
    <xf borderId="22" fillId="0" fontId="55" numFmtId="0" xfId="0" applyAlignment="1" applyBorder="1" applyFont="1">
      <alignment horizontal="right" vertical="top"/>
    </xf>
    <xf borderId="25" fillId="0" fontId="68" numFmtId="0" xfId="0" applyAlignment="1" applyBorder="1" applyFont="1">
      <alignment horizontal="left" vertical="top"/>
    </xf>
    <xf borderId="32" fillId="0" fontId="55" numFmtId="4" xfId="0" applyAlignment="1" applyBorder="1" applyFont="1" applyNumberFormat="1">
      <alignment horizontal="right" vertical="top"/>
    </xf>
    <xf borderId="0" fillId="0" fontId="0" numFmtId="4" xfId="0" applyAlignment="1" applyFont="1" applyNumberFormat="1">
      <alignment horizontal="left" vertical="top"/>
    </xf>
    <xf borderId="0" fillId="0" fontId="0" numFmtId="4" xfId="0" applyAlignment="1" applyFont="1" applyNumberFormat="1">
      <alignment horizontal="right" vertical="top"/>
    </xf>
    <xf borderId="23" fillId="0" fontId="55" numFmtId="0" xfId="0" applyAlignment="1" applyBorder="1" applyFont="1">
      <alignment horizontal="left" vertical="top"/>
    </xf>
    <xf borderId="23" fillId="0" fontId="68" numFmtId="0" xfId="0" applyAlignment="1" applyBorder="1" applyFont="1">
      <alignment horizontal="left" vertical="top"/>
    </xf>
    <xf borderId="23" fillId="0" fontId="55" numFmtId="4" xfId="0" applyAlignment="1" applyBorder="1" applyFont="1" applyNumberFormat="1">
      <alignment horizontal="right" vertical="top"/>
    </xf>
    <xf borderId="23" fillId="0" fontId="0" numFmtId="0" xfId="0" applyAlignment="1" applyBorder="1" applyFont="1">
      <alignment horizontal="left" vertical="top"/>
    </xf>
    <xf borderId="23" fillId="6" fontId="0" numFmtId="0" xfId="0" applyAlignment="1" applyBorder="1" applyFont="1">
      <alignment horizontal="left" vertical="top"/>
    </xf>
    <xf borderId="15" fillId="0" fontId="68" numFmtId="0" xfId="0" applyAlignment="1" applyBorder="1" applyFont="1">
      <alignment horizontal="left" vertical="top"/>
    </xf>
    <xf borderId="23" fillId="0" fontId="0" numFmtId="0" xfId="0" applyAlignment="1" applyBorder="1" applyFont="1">
      <alignment vertical="top"/>
    </xf>
    <xf borderId="23" fillId="0" fontId="4" numFmtId="0" xfId="0" applyBorder="1" applyFont="1"/>
    <xf borderId="1" fillId="15" fontId="69" numFmtId="0" xfId="0" applyBorder="1" applyFill="1" applyFont="1"/>
    <xf borderId="1" fillId="15" fontId="4" numFmtId="0" xfId="0" applyBorder="1" applyFont="1"/>
    <xf borderId="1" fillId="5" fontId="2" numFmtId="14" xfId="0" applyAlignment="1" applyBorder="1" applyFont="1" applyNumberFormat="1">
      <alignment horizontal="left" vertical="top"/>
    </xf>
    <xf borderId="1" fillId="5" fontId="2" numFmtId="177" xfId="0" applyAlignment="1" applyBorder="1" applyFont="1" applyNumberFormat="1">
      <alignment horizontal="left" vertical="top"/>
    </xf>
    <xf borderId="1" fillId="4" fontId="2" numFmtId="14" xfId="0" applyAlignment="1" applyBorder="1" applyFont="1" applyNumberFormat="1">
      <alignment horizontal="left" vertical="top"/>
    </xf>
    <xf borderId="1" fillId="4" fontId="2" numFmtId="177" xfId="0" applyAlignment="1" applyBorder="1" applyFont="1" applyNumberFormat="1">
      <alignment horizontal="left" vertical="top"/>
    </xf>
    <xf borderId="1" fillId="5" fontId="2" numFmtId="178" xfId="0" applyAlignment="1" applyBorder="1" applyFont="1" applyNumberFormat="1">
      <alignment horizontal="left" vertical="top"/>
    </xf>
    <xf borderId="1" fillId="5" fontId="2" numFmtId="179" xfId="0" applyAlignment="1" applyBorder="1" applyFont="1" applyNumberFormat="1">
      <alignment horizontal="left" vertical="top"/>
    </xf>
    <xf borderId="1" fillId="4" fontId="2" numFmtId="178" xfId="0" applyAlignment="1" applyBorder="1" applyFont="1" applyNumberFormat="1">
      <alignment horizontal="left" vertical="top"/>
    </xf>
    <xf borderId="1" fillId="4" fontId="2" numFmtId="179" xfId="0" applyAlignment="1" applyBorder="1" applyFont="1" applyNumberFormat="1">
      <alignment horizontal="left" vertical="top"/>
    </xf>
    <xf borderId="1" fillId="7" fontId="2" numFmtId="178" xfId="0" applyAlignment="1" applyBorder="1" applyFont="1" applyNumberFormat="1">
      <alignment horizontal="left" vertical="top"/>
    </xf>
    <xf borderId="1" fillId="7" fontId="2" numFmtId="179" xfId="0" applyAlignment="1" applyBorder="1" applyFont="1" applyNumberFormat="1">
      <alignment horizontal="left" vertical="top"/>
    </xf>
    <xf borderId="1" fillId="7" fontId="2" numFmtId="14" xfId="0" applyAlignment="1" applyBorder="1" applyFont="1" applyNumberFormat="1">
      <alignment horizontal="left" vertical="top"/>
    </xf>
    <xf borderId="1" fillId="7" fontId="2" numFmtId="177" xfId="0" applyAlignment="1" applyBorder="1" applyFont="1" applyNumberFormat="1">
      <alignment horizontal="left" vertical="top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externalLink" Target="externalLinks/externalLink1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customschemas.google.com/relationships/workbookmetadata" Target="metadata"/><Relationship Id="rId12" Type="http://schemas.openxmlformats.org/officeDocument/2006/relationships/worksheet" Target="worksheets/sheet9.xml"/><Relationship Id="rId23" Type="http://schemas.openxmlformats.org/officeDocument/2006/relationships/externalLink" Target="externalLinks/externalLink2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149</xdr:row>
      <xdr:rowOff>0</xdr:rowOff>
    </xdr:from>
    <xdr:ext cx="6838950" cy="5438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Anexo%20I%20-%20Pessoal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microsoft.com/office/2006/relationships/xlExternalLinkPath/xlPathMissing" Target="Concilia&#231;&#227;o%20DCF%20X%20EFISCO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nexo I - Pesso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nciliação DCF X EFISC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2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3.v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4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mailto:simonerocha@tce.pe.gov.br" TargetMode="External"/><Relationship Id="rId2" Type="http://schemas.openxmlformats.org/officeDocument/2006/relationships/hyperlink" Target="mailto:claudiaferreira@tce.pe.gov.br" TargetMode="External"/><Relationship Id="rId3" Type="http://schemas.openxmlformats.org/officeDocument/2006/relationships/hyperlink" Target="mailto:lbjb@tce.pe.gov.br" TargetMode="External"/><Relationship Id="rId4" Type="http://schemas.openxmlformats.org/officeDocument/2006/relationships/hyperlink" Target="mailto:lbjb@tce.pe.gov.br" TargetMode="External"/><Relationship Id="rId5" Type="http://schemas.openxmlformats.org/officeDocument/2006/relationships/hyperlink" Target="mailto:isaac@tce.pe.gov.br" TargetMode="External"/><Relationship Id="rId6" Type="http://schemas.openxmlformats.org/officeDocument/2006/relationships/hyperlink" Target="mailto:lbjb@tce.pe.gov.br" TargetMode="External"/><Relationship Id="rId7" Type="http://schemas.openxmlformats.org/officeDocument/2006/relationships/hyperlink" Target="mailto:lbjb@tce.pe.gov.br" TargetMode="External"/><Relationship Id="rId8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68.29"/>
    <col customWidth="1" min="3" max="6" width="14.43"/>
  </cols>
  <sheetData>
    <row r="1" ht="15.75" customHeight="1">
      <c r="A1" s="1" t="s">
        <v>0</v>
      </c>
      <c r="B1" s="2" t="s">
        <v>1</v>
      </c>
      <c r="C1" s="3" t="s">
        <v>2</v>
      </c>
      <c r="D1" s="4"/>
      <c r="E1" s="5"/>
      <c r="F1" s="6"/>
      <c r="G1" s="7"/>
      <c r="H1" s="8"/>
      <c r="I1" s="6"/>
      <c r="J1" s="9"/>
      <c r="K1" s="10"/>
      <c r="L1" s="11"/>
      <c r="M1" s="1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ht="15.75" customHeight="1">
      <c r="A2" s="13"/>
      <c r="B2" s="13"/>
      <c r="C2" s="14" t="s">
        <v>3</v>
      </c>
      <c r="D2" s="15"/>
      <c r="E2" s="14" t="s">
        <v>4</v>
      </c>
      <c r="F2" s="14" t="s">
        <v>5</v>
      </c>
      <c r="G2" s="16" t="s">
        <v>6</v>
      </c>
      <c r="H2" s="15"/>
      <c r="I2" s="14" t="s">
        <v>7</v>
      </c>
      <c r="J2" s="13"/>
      <c r="K2" s="17" t="s">
        <v>8</v>
      </c>
      <c r="L2" s="13"/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ht="15.75" customHeight="1">
      <c r="A3" s="13" t="s">
        <v>9</v>
      </c>
      <c r="B3" s="13" t="s">
        <v>10</v>
      </c>
      <c r="C3" s="14">
        <v>1.4346860926E8</v>
      </c>
      <c r="D3" s="15" t="s">
        <v>11</v>
      </c>
      <c r="E3" s="14">
        <v>7.486583893E7</v>
      </c>
      <c r="F3" s="14">
        <v>3323468.61</v>
      </c>
      <c r="G3" s="14">
        <v>7.154237032E7</v>
      </c>
      <c r="H3" s="15" t="s">
        <v>11</v>
      </c>
      <c r="I3" s="14">
        <v>2.1501097958E8</v>
      </c>
      <c r="J3" s="13" t="s">
        <v>11</v>
      </c>
      <c r="K3" s="18">
        <v>0.0</v>
      </c>
      <c r="L3" s="13"/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ht="15.75" customHeight="1">
      <c r="A4" s="19" t="s">
        <v>12</v>
      </c>
      <c r="B4" s="19" t="s">
        <v>13</v>
      </c>
      <c r="C4" s="5">
        <v>2474130.1</v>
      </c>
      <c r="D4" s="19" t="s">
        <v>11</v>
      </c>
      <c r="E4" s="5">
        <v>1553103.82</v>
      </c>
      <c r="F4" s="5">
        <v>0.0</v>
      </c>
      <c r="G4" s="20">
        <v>1553103.82</v>
      </c>
      <c r="H4" s="21" t="s">
        <v>11</v>
      </c>
      <c r="I4" s="20">
        <v>4027233.92</v>
      </c>
      <c r="J4" s="22" t="s">
        <v>11</v>
      </c>
      <c r="K4" s="23">
        <v>0.0</v>
      </c>
      <c r="L4" s="2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ht="15.75" customHeight="1">
      <c r="A5" s="15" t="s">
        <v>14</v>
      </c>
      <c r="B5" s="15" t="s">
        <v>15</v>
      </c>
      <c r="C5" s="14">
        <v>5267454.84</v>
      </c>
      <c r="D5" s="15" t="s">
        <v>11</v>
      </c>
      <c r="E5" s="14">
        <v>2674683.19</v>
      </c>
      <c r="F5" s="14">
        <v>0.0</v>
      </c>
      <c r="G5" s="17">
        <v>2674683.19</v>
      </c>
      <c r="H5" s="24" t="s">
        <v>11</v>
      </c>
      <c r="I5" s="17">
        <v>7942138.03</v>
      </c>
      <c r="J5" s="13" t="s">
        <v>11</v>
      </c>
      <c r="K5" s="18">
        <v>0.0</v>
      </c>
      <c r="L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ht="15.75" customHeight="1">
      <c r="A6" s="19" t="s">
        <v>16</v>
      </c>
      <c r="B6" s="19" t="s">
        <v>17</v>
      </c>
      <c r="C6" s="5">
        <v>0.0</v>
      </c>
      <c r="D6" s="19"/>
      <c r="E6" s="5">
        <v>91537.8</v>
      </c>
      <c r="F6" s="5">
        <v>91537.8</v>
      </c>
      <c r="G6" s="20">
        <v>0.0</v>
      </c>
      <c r="H6" s="22"/>
      <c r="I6" s="23">
        <v>0.0</v>
      </c>
      <c r="J6" s="22"/>
      <c r="K6" s="23">
        <v>0.0</v>
      </c>
      <c r="L6" s="2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ht="15.75" customHeight="1">
      <c r="A7" s="15" t="s">
        <v>18</v>
      </c>
      <c r="B7" s="15" t="s">
        <v>19</v>
      </c>
      <c r="C7" s="14">
        <v>4905992.27</v>
      </c>
      <c r="D7" s="15" t="s">
        <v>11</v>
      </c>
      <c r="E7" s="14">
        <v>2352513.04</v>
      </c>
      <c r="F7" s="14">
        <v>0.0</v>
      </c>
      <c r="G7" s="17">
        <v>2352513.04</v>
      </c>
      <c r="H7" s="24" t="s">
        <v>11</v>
      </c>
      <c r="I7" s="17">
        <v>7258505.31</v>
      </c>
      <c r="J7" s="13" t="s">
        <v>11</v>
      </c>
      <c r="K7" s="18">
        <v>0.0</v>
      </c>
      <c r="L7" s="1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ht="15.75" customHeight="1">
      <c r="A8" s="19" t="s">
        <v>20</v>
      </c>
      <c r="B8" s="19" t="s">
        <v>21</v>
      </c>
      <c r="C8" s="5">
        <v>48159.47</v>
      </c>
      <c r="D8" s="19" t="s">
        <v>11</v>
      </c>
      <c r="E8" s="5">
        <v>1.877988359E7</v>
      </c>
      <c r="F8" s="5">
        <v>0.0</v>
      </c>
      <c r="G8" s="20">
        <v>1.877988359E7</v>
      </c>
      <c r="H8" s="21" t="s">
        <v>11</v>
      </c>
      <c r="I8" s="20">
        <v>1.882804306E7</v>
      </c>
      <c r="J8" s="22" t="s">
        <v>11</v>
      </c>
      <c r="K8" s="23">
        <v>0.0</v>
      </c>
      <c r="L8" s="2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ht="15.75" customHeight="1">
      <c r="A9" s="25" t="s">
        <v>22</v>
      </c>
      <c r="B9" s="25" t="s">
        <v>23</v>
      </c>
      <c r="C9" s="26">
        <v>5462569.11</v>
      </c>
      <c r="D9" s="25" t="s">
        <v>11</v>
      </c>
      <c r="E9" s="26">
        <v>1133217.1</v>
      </c>
      <c r="F9" s="26">
        <v>80279.97</v>
      </c>
      <c r="G9" s="26">
        <v>1052937.13</v>
      </c>
      <c r="H9" s="27" t="s">
        <v>11</v>
      </c>
      <c r="I9" s="28">
        <v>6515506.24</v>
      </c>
      <c r="J9" s="29" t="s">
        <v>11</v>
      </c>
      <c r="K9" s="30">
        <v>0.0</v>
      </c>
      <c r="L9" s="29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5.75" customHeight="1">
      <c r="A10" s="31" t="s">
        <v>24</v>
      </c>
      <c r="B10" s="32" t="s">
        <v>25</v>
      </c>
      <c r="C10" s="14">
        <v>201000.0</v>
      </c>
      <c r="D10" s="15" t="s">
        <v>11</v>
      </c>
      <c r="E10" s="14">
        <v>72000.0</v>
      </c>
      <c r="F10" s="14">
        <v>0.0</v>
      </c>
      <c r="G10" s="14">
        <v>72000.0</v>
      </c>
      <c r="H10" s="15" t="s">
        <v>11</v>
      </c>
      <c r="I10" s="14">
        <v>273000.0</v>
      </c>
      <c r="J10" s="13" t="s">
        <v>11</v>
      </c>
      <c r="K10" s="30"/>
      <c r="L10" s="29"/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15.75" customHeight="1">
      <c r="A11" s="29" t="s">
        <v>26</v>
      </c>
      <c r="B11" s="27" t="s">
        <v>27</v>
      </c>
      <c r="C11" s="26">
        <v>179300.0</v>
      </c>
      <c r="D11" s="25" t="s">
        <v>11</v>
      </c>
      <c r="E11" s="26">
        <v>86400.0</v>
      </c>
      <c r="F11" s="26">
        <v>0.0</v>
      </c>
      <c r="G11" s="26">
        <v>86400.0</v>
      </c>
      <c r="H11" s="25" t="s">
        <v>11</v>
      </c>
      <c r="I11" s="26">
        <v>265700.0</v>
      </c>
      <c r="J11" s="29" t="s">
        <v>11</v>
      </c>
      <c r="K11" s="30">
        <v>0.0</v>
      </c>
      <c r="L11" s="29"/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15.75" customHeight="1">
      <c r="A12" s="13" t="s">
        <v>28</v>
      </c>
      <c r="B12" s="24" t="s">
        <v>29</v>
      </c>
      <c r="C12" s="26">
        <v>13569.76</v>
      </c>
      <c r="D12" s="25" t="s">
        <v>11</v>
      </c>
      <c r="E12" s="26">
        <v>15557.56</v>
      </c>
      <c r="F12" s="26">
        <v>0.0</v>
      </c>
      <c r="G12" s="26">
        <v>15557.56</v>
      </c>
      <c r="H12" s="25" t="s">
        <v>11</v>
      </c>
      <c r="I12" s="26">
        <v>29127.32</v>
      </c>
      <c r="J12" s="29" t="s">
        <v>11</v>
      </c>
      <c r="K12" s="30">
        <v>0.0</v>
      </c>
      <c r="L12" s="29"/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ht="15.75" customHeight="1">
      <c r="A13" s="29" t="s">
        <v>30</v>
      </c>
      <c r="B13" s="29" t="s">
        <v>31</v>
      </c>
      <c r="C13" s="26">
        <v>382659.36</v>
      </c>
      <c r="D13" s="25" t="s">
        <v>11</v>
      </c>
      <c r="E13" s="26">
        <v>239826.06</v>
      </c>
      <c r="F13" s="26">
        <v>0.0</v>
      </c>
      <c r="G13" s="26">
        <v>239826.06</v>
      </c>
      <c r="H13" s="25" t="s">
        <v>11</v>
      </c>
      <c r="I13" s="26">
        <v>622485.42</v>
      </c>
      <c r="J13" s="29" t="s">
        <v>11</v>
      </c>
      <c r="K13" s="28">
        <v>0.0</v>
      </c>
      <c r="L13" s="29"/>
      <c r="M13" s="13"/>
    </row>
    <row r="14" ht="15.75" customHeight="1">
      <c r="A14" s="29" t="s">
        <v>32</v>
      </c>
      <c r="B14" s="29" t="s">
        <v>33</v>
      </c>
      <c r="C14" s="26">
        <v>0.0</v>
      </c>
      <c r="D14" s="25"/>
      <c r="E14" s="26">
        <v>1.2754254761E8</v>
      </c>
      <c r="F14" s="26">
        <v>1.2754254761E8</v>
      </c>
      <c r="G14" s="26">
        <v>0.0</v>
      </c>
      <c r="H14" s="25"/>
      <c r="I14" s="26">
        <v>0.0</v>
      </c>
      <c r="J14" s="29"/>
      <c r="K14" s="30">
        <v>0.0</v>
      </c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15.75" customHeight="1">
      <c r="A15" s="13" t="s">
        <v>34</v>
      </c>
      <c r="B15" s="13" t="s">
        <v>35</v>
      </c>
      <c r="C15" s="26">
        <v>4.053513692E7</v>
      </c>
      <c r="D15" s="25" t="s">
        <v>11</v>
      </c>
      <c r="E15" s="26">
        <v>2.545486483E7</v>
      </c>
      <c r="F15" s="26">
        <v>0.0</v>
      </c>
      <c r="G15" s="26">
        <v>2.545486483E7</v>
      </c>
      <c r="H15" s="25" t="s">
        <v>11</v>
      </c>
      <c r="I15" s="26">
        <v>6.599000175E7</v>
      </c>
      <c r="J15" s="29" t="s">
        <v>11</v>
      </c>
      <c r="K15" s="30">
        <v>0.0</v>
      </c>
      <c r="L15" s="29"/>
    </row>
    <row r="16" ht="15.75" customHeight="1">
      <c r="A16" s="29" t="s">
        <v>36</v>
      </c>
      <c r="B16" s="29" t="s">
        <v>37</v>
      </c>
      <c r="C16" s="26">
        <v>1246896.98</v>
      </c>
      <c r="D16" s="25" t="s">
        <v>11</v>
      </c>
      <c r="E16" s="26">
        <v>945746.77</v>
      </c>
      <c r="F16" s="26">
        <v>155514.73</v>
      </c>
      <c r="G16" s="26">
        <v>790232.04</v>
      </c>
      <c r="H16" s="25" t="s">
        <v>11</v>
      </c>
      <c r="I16" s="26">
        <v>2037129.02</v>
      </c>
      <c r="J16" s="29" t="s">
        <v>11</v>
      </c>
      <c r="K16" s="30">
        <v>0.0</v>
      </c>
      <c r="L16" s="29"/>
    </row>
    <row r="17" ht="15.75" customHeight="1">
      <c r="A17" s="29" t="s">
        <v>38</v>
      </c>
      <c r="B17" s="29" t="s">
        <v>39</v>
      </c>
      <c r="C17" s="26">
        <v>1105392.0</v>
      </c>
      <c r="D17" s="25" t="s">
        <v>40</v>
      </c>
      <c r="E17" s="26">
        <v>2000.0</v>
      </c>
      <c r="F17" s="26">
        <v>688813.49</v>
      </c>
      <c r="G17" s="26">
        <v>686813.49</v>
      </c>
      <c r="H17" s="25" t="s">
        <v>40</v>
      </c>
      <c r="I17" s="26">
        <v>1792205.49</v>
      </c>
      <c r="J17" s="29" t="s">
        <v>40</v>
      </c>
      <c r="K17" s="30">
        <v>0.0</v>
      </c>
      <c r="L17" s="29"/>
    </row>
    <row r="18" ht="15.75" customHeight="1">
      <c r="A18" s="13" t="s">
        <v>41</v>
      </c>
      <c r="B18" s="13" t="s">
        <v>42</v>
      </c>
      <c r="C18" s="26">
        <v>4.240056408E7</v>
      </c>
      <c r="D18" s="25" t="s">
        <v>40</v>
      </c>
      <c r="E18" s="26">
        <v>0.0</v>
      </c>
      <c r="F18" s="26">
        <v>2.90778918E7</v>
      </c>
      <c r="G18" s="26">
        <v>2.90778918E7</v>
      </c>
      <c r="H18" s="25" t="s">
        <v>40</v>
      </c>
      <c r="I18" s="26">
        <v>7.147845588E7</v>
      </c>
      <c r="J18" s="29" t="s">
        <v>40</v>
      </c>
      <c r="K18" s="17">
        <v>7.147845588E7</v>
      </c>
      <c r="L18" s="13" t="s">
        <v>40</v>
      </c>
    </row>
    <row r="19" ht="15.75" customHeight="1">
      <c r="A19" s="29" t="s">
        <v>43</v>
      </c>
      <c r="B19" s="25" t="s">
        <v>44</v>
      </c>
      <c r="C19" s="26">
        <v>8584060.67</v>
      </c>
      <c r="D19" s="25" t="s">
        <v>40</v>
      </c>
      <c r="E19" s="26">
        <v>0.0</v>
      </c>
      <c r="F19" s="26">
        <v>5543980.25</v>
      </c>
      <c r="G19" s="26">
        <v>5543980.25</v>
      </c>
      <c r="H19" s="25" t="s">
        <v>40</v>
      </c>
      <c r="I19" s="28">
        <v>1.412804092E7</v>
      </c>
      <c r="J19" s="27" t="s">
        <v>40</v>
      </c>
      <c r="K19" s="28">
        <v>1.412804092E7</v>
      </c>
      <c r="L19" s="29" t="s">
        <v>40</v>
      </c>
    </row>
    <row r="20" ht="15.75" customHeight="1">
      <c r="A20" s="1"/>
      <c r="B20" s="2"/>
      <c r="C20" s="3"/>
      <c r="D20" s="4"/>
      <c r="E20" s="5"/>
      <c r="F20" s="6"/>
      <c r="G20" s="7"/>
      <c r="H20" s="8"/>
      <c r="I20" s="6"/>
      <c r="J20" s="9"/>
      <c r="K20" s="10"/>
      <c r="L20" s="11"/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ht="15.75" customHeight="1">
      <c r="A21" s="1" t="s">
        <v>0</v>
      </c>
      <c r="B21" s="2" t="s">
        <v>45</v>
      </c>
      <c r="C21" s="3" t="s">
        <v>2</v>
      </c>
      <c r="D21" s="4"/>
      <c r="E21" s="5">
        <v>43977.0</v>
      </c>
      <c r="F21" s="6"/>
      <c r="G21" s="7"/>
      <c r="H21" s="8"/>
      <c r="I21" s="6"/>
      <c r="J21" s="9"/>
      <c r="K21" s="10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15.75" customHeight="1">
      <c r="A22" s="13"/>
      <c r="B22" s="13"/>
      <c r="C22" s="14" t="s">
        <v>3</v>
      </c>
      <c r="D22" s="15"/>
      <c r="E22" s="14" t="s">
        <v>4</v>
      </c>
      <c r="F22" s="14" t="s">
        <v>5</v>
      </c>
      <c r="G22" s="14" t="s">
        <v>6</v>
      </c>
      <c r="H22" s="15"/>
      <c r="I22" s="14" t="s">
        <v>7</v>
      </c>
      <c r="J22" s="13"/>
      <c r="K22" s="17" t="s">
        <v>8</v>
      </c>
      <c r="L22" s="13"/>
      <c r="M22" s="33"/>
    </row>
    <row r="23" ht="15.75" customHeight="1">
      <c r="A23" s="13" t="s">
        <v>9</v>
      </c>
      <c r="B23" s="13" t="s">
        <v>10</v>
      </c>
      <c r="C23" s="14">
        <v>0.0</v>
      </c>
      <c r="D23" s="15"/>
      <c r="E23" s="14">
        <v>1.811958953E7</v>
      </c>
      <c r="F23" s="14">
        <v>644034.84</v>
      </c>
      <c r="G23" s="14">
        <v>1.747555469E7</v>
      </c>
      <c r="H23" s="15" t="s">
        <v>11</v>
      </c>
      <c r="I23" s="14">
        <v>1.747555469E7</v>
      </c>
      <c r="J23" s="15" t="s">
        <v>11</v>
      </c>
      <c r="K23" s="14">
        <v>8.78007313E7</v>
      </c>
      <c r="L23" s="15" t="s">
        <v>11</v>
      </c>
      <c r="M23" s="33"/>
    </row>
    <row r="24" ht="15.75" customHeight="1">
      <c r="A24" s="22" t="s">
        <v>12</v>
      </c>
      <c r="B24" s="22" t="s">
        <v>13</v>
      </c>
      <c r="C24" s="5">
        <v>0.0</v>
      </c>
      <c r="D24" s="19"/>
      <c r="E24" s="5">
        <v>245467.88</v>
      </c>
      <c r="F24" s="5">
        <v>0.0</v>
      </c>
      <c r="G24" s="5">
        <v>245467.88</v>
      </c>
      <c r="H24" s="19" t="s">
        <v>11</v>
      </c>
      <c r="I24" s="5">
        <v>245467.88</v>
      </c>
      <c r="J24" s="19" t="s">
        <v>11</v>
      </c>
      <c r="K24" s="5">
        <v>1267385.78</v>
      </c>
      <c r="L24" s="19" t="s">
        <v>11</v>
      </c>
      <c r="M24" s="33"/>
    </row>
    <row r="25" ht="15.75" customHeight="1">
      <c r="A25" s="13" t="s">
        <v>14</v>
      </c>
      <c r="B25" s="13" t="s">
        <v>15</v>
      </c>
      <c r="C25" s="14">
        <v>0.0</v>
      </c>
      <c r="D25" s="15"/>
      <c r="E25" s="14">
        <v>660395.99</v>
      </c>
      <c r="F25" s="14">
        <v>0.0</v>
      </c>
      <c r="G25" s="14">
        <v>660395.99</v>
      </c>
      <c r="H25" s="15" t="s">
        <v>11</v>
      </c>
      <c r="I25" s="14">
        <v>660395.99</v>
      </c>
      <c r="J25" s="15" t="s">
        <v>11</v>
      </c>
      <c r="K25" s="14">
        <v>3323666.35</v>
      </c>
      <c r="L25" s="15" t="s">
        <v>11</v>
      </c>
      <c r="M25" s="33"/>
    </row>
    <row r="26" ht="15.75" customHeight="1">
      <c r="A26" s="22" t="s">
        <v>18</v>
      </c>
      <c r="B26" s="22" t="s">
        <v>19</v>
      </c>
      <c r="C26" s="5">
        <v>0.0</v>
      </c>
      <c r="D26" s="19"/>
      <c r="E26" s="5">
        <v>531490.29</v>
      </c>
      <c r="F26" s="5">
        <v>0.0</v>
      </c>
      <c r="G26" s="5">
        <v>531490.29</v>
      </c>
      <c r="H26" s="19" t="s">
        <v>11</v>
      </c>
      <c r="I26" s="5">
        <v>531490.29</v>
      </c>
      <c r="J26" s="19" t="s">
        <v>11</v>
      </c>
      <c r="K26" s="5">
        <v>2649407.64</v>
      </c>
      <c r="L26" s="19" t="s">
        <v>11</v>
      </c>
      <c r="M26" s="33"/>
    </row>
    <row r="27" ht="15.75" customHeight="1">
      <c r="A27" s="13" t="s">
        <v>20</v>
      </c>
      <c r="B27" s="13" t="s">
        <v>21</v>
      </c>
      <c r="C27" s="14">
        <v>0.0</v>
      </c>
      <c r="D27" s="15"/>
      <c r="E27" s="14">
        <v>0.0</v>
      </c>
      <c r="F27" s="14">
        <v>0.0</v>
      </c>
      <c r="G27" s="14">
        <v>0.0</v>
      </c>
      <c r="H27" s="19" t="s">
        <v>11</v>
      </c>
      <c r="I27" s="14">
        <v>0.0</v>
      </c>
      <c r="J27" s="19" t="s">
        <v>11</v>
      </c>
      <c r="K27" s="14">
        <v>0.0</v>
      </c>
      <c r="L27" s="15" t="s">
        <v>11</v>
      </c>
      <c r="M27" s="33"/>
    </row>
    <row r="28" ht="15.75" customHeight="1">
      <c r="A28" s="13" t="s">
        <v>22</v>
      </c>
      <c r="B28" s="13" t="s">
        <v>23</v>
      </c>
      <c r="C28" s="14">
        <v>0.0</v>
      </c>
      <c r="D28" s="15"/>
      <c r="E28" s="14">
        <v>2877985.63</v>
      </c>
      <c r="F28" s="14">
        <v>91543.21</v>
      </c>
      <c r="G28" s="14">
        <v>2786442.42</v>
      </c>
      <c r="H28" s="15" t="s">
        <v>11</v>
      </c>
      <c r="I28" s="14">
        <v>2786442.42</v>
      </c>
      <c r="J28" s="15" t="s">
        <v>11</v>
      </c>
      <c r="K28" s="14">
        <v>3345978.87</v>
      </c>
      <c r="L28" s="15" t="s">
        <v>11</v>
      </c>
      <c r="M28" s="33"/>
    </row>
    <row r="29" ht="15.75" customHeight="1">
      <c r="A29" s="22" t="s">
        <v>24</v>
      </c>
      <c r="B29" s="22" t="s">
        <v>25</v>
      </c>
      <c r="C29" s="5">
        <v>0.0</v>
      </c>
      <c r="D29" s="19"/>
      <c r="E29" s="5">
        <v>17800.0</v>
      </c>
      <c r="F29" s="5">
        <v>0.0</v>
      </c>
      <c r="G29" s="5">
        <v>17800.0</v>
      </c>
      <c r="H29" s="19" t="s">
        <v>11</v>
      </c>
      <c r="I29" s="5">
        <v>17800.0</v>
      </c>
      <c r="J29" s="19" t="s">
        <v>11</v>
      </c>
      <c r="K29" s="5">
        <v>72600.0</v>
      </c>
      <c r="L29" s="19" t="s">
        <v>11</v>
      </c>
      <c r="M29" s="33"/>
    </row>
    <row r="30" ht="15.75" customHeight="1">
      <c r="A30" s="13" t="s">
        <v>26</v>
      </c>
      <c r="B30" s="13" t="s">
        <v>27</v>
      </c>
      <c r="C30" s="14">
        <v>0.0</v>
      </c>
      <c r="D30" s="15"/>
      <c r="E30" s="14">
        <v>21300.0</v>
      </c>
      <c r="F30" s="14">
        <v>0.0</v>
      </c>
      <c r="G30" s="14">
        <v>21300.0</v>
      </c>
      <c r="H30" s="15" t="s">
        <v>11</v>
      </c>
      <c r="I30" s="14">
        <v>21300.0</v>
      </c>
      <c r="J30" s="15" t="s">
        <v>11</v>
      </c>
      <c r="K30" s="14">
        <v>83700.0</v>
      </c>
      <c r="L30" s="15" t="s">
        <v>11</v>
      </c>
      <c r="M30" s="33"/>
    </row>
    <row r="31" ht="15.75" customHeight="1">
      <c r="A31" s="22" t="s">
        <v>28</v>
      </c>
      <c r="B31" s="22" t="s">
        <v>29</v>
      </c>
      <c r="C31" s="5">
        <v>0.0</v>
      </c>
      <c r="D31" s="19"/>
      <c r="E31" s="5">
        <v>4000.39</v>
      </c>
      <c r="F31" s="5">
        <v>0.0</v>
      </c>
      <c r="G31" s="5">
        <v>4000.39</v>
      </c>
      <c r="H31" s="19" t="s">
        <v>11</v>
      </c>
      <c r="I31" s="5">
        <v>4000.39</v>
      </c>
      <c r="J31" s="19" t="s">
        <v>11</v>
      </c>
      <c r="K31" s="5">
        <v>4000.39</v>
      </c>
      <c r="L31" s="19" t="s">
        <v>11</v>
      </c>
      <c r="M31" s="33"/>
    </row>
    <row r="32" ht="15.75" customHeight="1">
      <c r="A32" s="29" t="s">
        <v>30</v>
      </c>
      <c r="B32" s="29" t="s">
        <v>31</v>
      </c>
      <c r="C32" s="26">
        <v>0.0</v>
      </c>
      <c r="D32" s="25"/>
      <c r="E32" s="26">
        <v>51117.87</v>
      </c>
      <c r="F32" s="26">
        <v>0.0</v>
      </c>
      <c r="G32" s="26">
        <v>51117.87</v>
      </c>
      <c r="H32" s="25" t="s">
        <v>11</v>
      </c>
      <c r="I32" s="26">
        <v>51117.87</v>
      </c>
      <c r="J32" s="29" t="s">
        <v>11</v>
      </c>
      <c r="K32" s="28">
        <v>379954.02</v>
      </c>
      <c r="L32" s="29" t="s">
        <v>11</v>
      </c>
      <c r="M32" s="13"/>
    </row>
    <row r="33" ht="15.75" customHeight="1">
      <c r="A33" s="29" t="s">
        <v>32</v>
      </c>
      <c r="B33" s="29" t="s">
        <v>33</v>
      </c>
      <c r="C33" s="26">
        <v>0.0</v>
      </c>
      <c r="D33" s="25"/>
      <c r="E33" s="26">
        <v>2.800190041E7</v>
      </c>
      <c r="F33" s="26">
        <v>2.800190041E7</v>
      </c>
      <c r="G33" s="26">
        <v>0.0</v>
      </c>
      <c r="H33" s="25"/>
      <c r="I33" s="26">
        <v>0.0</v>
      </c>
      <c r="J33" s="25"/>
      <c r="K33" s="26">
        <v>204119.18</v>
      </c>
      <c r="L33" s="25" t="s">
        <v>11</v>
      </c>
      <c r="M33" s="33"/>
    </row>
    <row r="34" ht="15.75" customHeight="1">
      <c r="A34" s="29" t="s">
        <v>34</v>
      </c>
      <c r="B34" s="29" t="s">
        <v>35</v>
      </c>
      <c r="C34" s="26">
        <v>0.0</v>
      </c>
      <c r="D34" s="25"/>
      <c r="E34" s="26">
        <v>4983976.59</v>
      </c>
      <c r="F34" s="26">
        <v>0.0</v>
      </c>
      <c r="G34" s="26">
        <v>4983976.59</v>
      </c>
      <c r="H34" s="25" t="s">
        <v>11</v>
      </c>
      <c r="I34" s="26">
        <v>4983976.59</v>
      </c>
      <c r="J34" s="29" t="s">
        <v>11</v>
      </c>
      <c r="K34" s="28">
        <v>4.003457873E7</v>
      </c>
      <c r="L34" s="29" t="s">
        <v>11</v>
      </c>
    </row>
    <row r="35" ht="15.75" customHeight="1">
      <c r="A35" s="29" t="s">
        <v>36</v>
      </c>
      <c r="B35" s="29" t="s">
        <v>37</v>
      </c>
      <c r="C35" s="26">
        <v>0.0</v>
      </c>
      <c r="D35" s="25"/>
      <c r="E35" s="26">
        <v>140044.1</v>
      </c>
      <c r="F35" s="26">
        <v>0.0</v>
      </c>
      <c r="G35" s="26">
        <v>140044.1</v>
      </c>
      <c r="H35" s="25" t="s">
        <v>11</v>
      </c>
      <c r="I35" s="26">
        <v>140044.1</v>
      </c>
      <c r="J35" s="29" t="s">
        <v>11</v>
      </c>
      <c r="K35" s="28">
        <v>1123027.83</v>
      </c>
      <c r="L35" s="29" t="s">
        <v>11</v>
      </c>
    </row>
    <row r="36" ht="15.75" customHeight="1">
      <c r="A36" s="29" t="s">
        <v>38</v>
      </c>
      <c r="B36" s="29" t="s">
        <v>39</v>
      </c>
      <c r="C36" s="26">
        <v>0.0</v>
      </c>
      <c r="D36" s="25"/>
      <c r="E36" s="26">
        <v>0.0</v>
      </c>
      <c r="F36" s="26">
        <v>127100.97</v>
      </c>
      <c r="G36" s="26">
        <v>127100.97</v>
      </c>
      <c r="H36" s="25" t="s">
        <v>40</v>
      </c>
      <c r="I36" s="26">
        <v>127100.97</v>
      </c>
      <c r="J36" s="29" t="s">
        <v>40</v>
      </c>
      <c r="K36" s="28">
        <v>1021515.27</v>
      </c>
      <c r="L36" s="29" t="s">
        <v>40</v>
      </c>
    </row>
    <row r="37" ht="15.75" customHeight="1">
      <c r="A37" s="29" t="s">
        <v>41</v>
      </c>
      <c r="B37" s="29" t="s">
        <v>42</v>
      </c>
      <c r="C37" s="26">
        <v>0.0</v>
      </c>
      <c r="D37" s="25"/>
      <c r="E37" s="26">
        <v>0.0</v>
      </c>
      <c r="F37" s="26">
        <v>6282956.43</v>
      </c>
      <c r="G37" s="26">
        <v>6282956.43</v>
      </c>
      <c r="H37" s="25" t="s">
        <v>40</v>
      </c>
      <c r="I37" s="26">
        <v>6282956.43</v>
      </c>
      <c r="J37" s="29" t="s">
        <v>40</v>
      </c>
      <c r="K37" s="28">
        <v>5.042758205E7</v>
      </c>
      <c r="L37" s="29" t="s">
        <v>40</v>
      </c>
    </row>
    <row r="38" ht="15.75" customHeight="1">
      <c r="A38" s="29" t="s">
        <v>43</v>
      </c>
      <c r="B38" s="29" t="s">
        <v>44</v>
      </c>
      <c r="C38" s="14">
        <v>0.0</v>
      </c>
      <c r="D38" s="15"/>
      <c r="E38" s="14">
        <v>0.0</v>
      </c>
      <c r="F38" s="14">
        <v>1148467.09</v>
      </c>
      <c r="G38" s="14">
        <v>1148467.09</v>
      </c>
      <c r="H38" s="15" t="s">
        <v>40</v>
      </c>
      <c r="I38" s="14">
        <v>1148467.09</v>
      </c>
      <c r="J38" s="13" t="s">
        <v>40</v>
      </c>
      <c r="K38" s="17">
        <v>9163595.89</v>
      </c>
      <c r="L38" s="13" t="s">
        <v>40</v>
      </c>
    </row>
    <row r="39" ht="15.75" customHeight="1">
      <c r="A39" s="1"/>
      <c r="B39" s="2"/>
      <c r="C39" s="3"/>
      <c r="D39" s="4"/>
      <c r="E39" s="5"/>
      <c r="F39" s="6"/>
      <c r="G39" s="7"/>
      <c r="H39" s="8"/>
      <c r="I39" s="6"/>
      <c r="J39" s="9"/>
      <c r="K39" s="10"/>
      <c r="L39" s="11"/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ht="15.75" customHeight="1">
      <c r="A40" s="1" t="s">
        <v>0</v>
      </c>
      <c r="B40" s="2" t="s">
        <v>46</v>
      </c>
      <c r="C40" s="3" t="s">
        <v>2</v>
      </c>
      <c r="D40" s="4"/>
      <c r="E40" s="5">
        <v>43977.0</v>
      </c>
      <c r="F40" s="6"/>
      <c r="G40" s="7"/>
      <c r="H40" s="8"/>
      <c r="I40" s="6"/>
      <c r="J40" s="9"/>
      <c r="K40" s="10"/>
      <c r="L40" s="11"/>
      <c r="M40" s="11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ht="15.75" customHeight="1">
      <c r="A41" s="13"/>
      <c r="B41" s="13"/>
      <c r="C41" s="14" t="s">
        <v>3</v>
      </c>
      <c r="D41" s="15"/>
      <c r="E41" s="14" t="s">
        <v>4</v>
      </c>
      <c r="F41" s="14" t="s">
        <v>5</v>
      </c>
      <c r="G41" s="14" t="s">
        <v>6</v>
      </c>
      <c r="H41" s="15"/>
      <c r="I41" s="14" t="s">
        <v>7</v>
      </c>
      <c r="J41" s="13"/>
      <c r="K41" s="17" t="s">
        <v>8</v>
      </c>
      <c r="L41" s="13"/>
      <c r="M41" s="33"/>
    </row>
    <row r="42" ht="15.75" customHeight="1">
      <c r="A42" s="13" t="s">
        <v>9</v>
      </c>
      <c r="B42" s="13" t="s">
        <v>10</v>
      </c>
      <c r="C42" s="14">
        <v>1.747555469E7</v>
      </c>
      <c r="D42" s="15" t="s">
        <v>11</v>
      </c>
      <c r="E42" s="14">
        <v>1.813186242E7</v>
      </c>
      <c r="F42" s="14">
        <v>641763.02</v>
      </c>
      <c r="G42" s="14">
        <v>1.74900994E7</v>
      </c>
      <c r="H42" s="15" t="s">
        <v>11</v>
      </c>
      <c r="I42" s="14">
        <v>3.496565409E7</v>
      </c>
      <c r="J42" s="13" t="s">
        <v>11</v>
      </c>
      <c r="K42" s="17">
        <v>8.78007313E7</v>
      </c>
      <c r="L42" s="13" t="s">
        <v>11</v>
      </c>
      <c r="M42" s="33"/>
    </row>
    <row r="43" ht="15.75" customHeight="1">
      <c r="A43" s="22" t="s">
        <v>12</v>
      </c>
      <c r="B43" s="22" t="s">
        <v>13</v>
      </c>
      <c r="C43" s="5">
        <v>245467.88</v>
      </c>
      <c r="D43" s="19" t="s">
        <v>11</v>
      </c>
      <c r="E43" s="5">
        <v>245950.05</v>
      </c>
      <c r="F43" s="5">
        <v>0.0</v>
      </c>
      <c r="G43" s="5">
        <v>245950.05</v>
      </c>
      <c r="H43" s="19" t="s">
        <v>11</v>
      </c>
      <c r="I43" s="5">
        <v>491417.93</v>
      </c>
      <c r="J43" s="21" t="s">
        <v>11</v>
      </c>
      <c r="K43" s="20">
        <v>1267385.78</v>
      </c>
      <c r="L43" s="22" t="s">
        <v>11</v>
      </c>
    </row>
    <row r="44" ht="15.75" customHeight="1">
      <c r="A44" s="13" t="s">
        <v>14</v>
      </c>
      <c r="B44" s="13" t="s">
        <v>15</v>
      </c>
      <c r="C44" s="14">
        <v>660395.99</v>
      </c>
      <c r="D44" s="15" t="s">
        <v>11</v>
      </c>
      <c r="E44" s="14">
        <v>660395.99</v>
      </c>
      <c r="F44" s="14">
        <v>0.0</v>
      </c>
      <c r="G44" s="14">
        <v>660395.99</v>
      </c>
      <c r="H44" s="15" t="s">
        <v>11</v>
      </c>
      <c r="I44" s="14">
        <v>1320791.98</v>
      </c>
      <c r="J44" s="24" t="s">
        <v>11</v>
      </c>
      <c r="K44" s="17">
        <v>3323666.35</v>
      </c>
      <c r="L44" s="13" t="s">
        <v>11</v>
      </c>
    </row>
    <row r="45" ht="15.75" customHeight="1">
      <c r="A45" s="22" t="s">
        <v>18</v>
      </c>
      <c r="B45" s="22" t="s">
        <v>19</v>
      </c>
      <c r="C45" s="5">
        <v>531490.29</v>
      </c>
      <c r="D45" s="19" t="s">
        <v>11</v>
      </c>
      <c r="E45" s="5">
        <v>531761.85</v>
      </c>
      <c r="F45" s="5">
        <v>0.0</v>
      </c>
      <c r="G45" s="5">
        <v>531761.85</v>
      </c>
      <c r="H45" s="19" t="s">
        <v>11</v>
      </c>
      <c r="I45" s="5">
        <v>1063252.14</v>
      </c>
      <c r="J45" s="21" t="s">
        <v>11</v>
      </c>
      <c r="K45" s="20">
        <v>2649407.64</v>
      </c>
      <c r="L45" s="22" t="s">
        <v>11</v>
      </c>
    </row>
    <row r="46" ht="15.75" customHeight="1">
      <c r="A46" s="13" t="s">
        <v>20</v>
      </c>
      <c r="B46" s="13" t="s">
        <v>21</v>
      </c>
      <c r="C46" s="14">
        <v>0.0</v>
      </c>
      <c r="D46" s="15"/>
      <c r="E46" s="14">
        <v>2340.0</v>
      </c>
      <c r="F46" s="14">
        <v>0.0</v>
      </c>
      <c r="G46" s="14">
        <v>2340.0</v>
      </c>
      <c r="H46" s="15" t="s">
        <v>11</v>
      </c>
      <c r="I46" s="14">
        <v>2340.0</v>
      </c>
      <c r="J46" s="24" t="s">
        <v>11</v>
      </c>
      <c r="K46" s="17">
        <v>2340.0</v>
      </c>
      <c r="L46" s="13" t="s">
        <v>11</v>
      </c>
    </row>
    <row r="47" ht="15.75" customHeight="1">
      <c r="A47" s="22" t="s">
        <v>22</v>
      </c>
      <c r="B47" s="22" t="s">
        <v>23</v>
      </c>
      <c r="C47" s="5">
        <v>2786442.42</v>
      </c>
      <c r="D47" s="19" t="s">
        <v>11</v>
      </c>
      <c r="E47" s="5">
        <v>292550.94</v>
      </c>
      <c r="F47" s="5">
        <v>55227.48</v>
      </c>
      <c r="G47" s="5">
        <v>237323.46</v>
      </c>
      <c r="H47" s="19" t="s">
        <v>11</v>
      </c>
      <c r="I47" s="5">
        <v>3023765.88</v>
      </c>
      <c r="J47" s="21" t="s">
        <v>11</v>
      </c>
      <c r="K47" s="20">
        <v>3345978.87</v>
      </c>
      <c r="L47" s="22" t="s">
        <v>11</v>
      </c>
    </row>
    <row r="48" ht="15.75" customHeight="1">
      <c r="A48" s="13" t="s">
        <v>24</v>
      </c>
      <c r="B48" s="13" t="s">
        <v>25</v>
      </c>
      <c r="C48" s="14">
        <v>17800.0</v>
      </c>
      <c r="D48" s="15" t="s">
        <v>11</v>
      </c>
      <c r="E48" s="14">
        <v>13600.0</v>
      </c>
      <c r="F48" s="14">
        <v>0.0</v>
      </c>
      <c r="G48" s="14">
        <v>13600.0</v>
      </c>
      <c r="H48" s="15" t="s">
        <v>11</v>
      </c>
      <c r="I48" s="14">
        <v>31400.0</v>
      </c>
      <c r="J48" s="24" t="s">
        <v>11</v>
      </c>
      <c r="K48" s="17">
        <v>72600.0</v>
      </c>
      <c r="L48" s="13" t="s">
        <v>11</v>
      </c>
    </row>
    <row r="49" ht="15.75" customHeight="1">
      <c r="A49" s="22" t="s">
        <v>26</v>
      </c>
      <c r="B49" s="22" t="s">
        <v>27</v>
      </c>
      <c r="C49" s="5">
        <v>21300.0</v>
      </c>
      <c r="D49" s="19" t="s">
        <v>11</v>
      </c>
      <c r="E49" s="5">
        <v>18400.0</v>
      </c>
      <c r="F49" s="5">
        <v>0.0</v>
      </c>
      <c r="G49" s="5">
        <v>18400.0</v>
      </c>
      <c r="H49" s="19" t="s">
        <v>11</v>
      </c>
      <c r="I49" s="5">
        <v>39700.0</v>
      </c>
      <c r="J49" s="22" t="s">
        <v>11</v>
      </c>
      <c r="K49" s="20">
        <v>83700.0</v>
      </c>
      <c r="L49" s="22" t="s">
        <v>11</v>
      </c>
    </row>
    <row r="50" ht="15.75" customHeight="1">
      <c r="A50" s="13" t="s">
        <v>28</v>
      </c>
      <c r="B50" s="13" t="s">
        <v>29</v>
      </c>
      <c r="C50" s="14">
        <v>4000.39</v>
      </c>
      <c r="D50" s="15" t="s">
        <v>11</v>
      </c>
      <c r="E50" s="14">
        <v>0.0</v>
      </c>
      <c r="F50" s="14">
        <v>0.0</v>
      </c>
      <c r="G50" s="14">
        <v>0.0</v>
      </c>
      <c r="H50" s="15"/>
      <c r="I50" s="14">
        <v>4000.39</v>
      </c>
      <c r="J50" s="13" t="s">
        <v>11</v>
      </c>
      <c r="K50" s="17">
        <v>4000.39</v>
      </c>
      <c r="L50" s="13" t="s">
        <v>11</v>
      </c>
    </row>
    <row r="51" ht="15.75" customHeight="1">
      <c r="A51" s="29" t="s">
        <v>30</v>
      </c>
      <c r="B51" s="29" t="s">
        <v>31</v>
      </c>
      <c r="C51" s="26">
        <v>51117.87</v>
      </c>
      <c r="D51" s="25" t="s">
        <v>11</v>
      </c>
      <c r="E51" s="26">
        <v>47037.27</v>
      </c>
      <c r="F51" s="26">
        <v>0.0</v>
      </c>
      <c r="G51" s="26">
        <v>47037.27</v>
      </c>
      <c r="H51" s="25" t="s">
        <v>11</v>
      </c>
      <c r="I51" s="26">
        <v>98155.14</v>
      </c>
      <c r="J51" s="29" t="s">
        <v>11</v>
      </c>
      <c r="K51" s="28">
        <v>379954.02</v>
      </c>
      <c r="L51" s="29" t="s">
        <v>11</v>
      </c>
      <c r="M51" s="13"/>
    </row>
    <row r="52" ht="15.75" customHeight="1">
      <c r="A52" s="29" t="s">
        <v>32</v>
      </c>
      <c r="B52" s="29" t="s">
        <v>33</v>
      </c>
      <c r="C52" s="26">
        <v>0.0</v>
      </c>
      <c r="D52" s="25"/>
      <c r="E52" s="26">
        <v>2.479377251E7</v>
      </c>
      <c r="F52" s="26">
        <v>2.479377251E7</v>
      </c>
      <c r="G52" s="26">
        <v>0.0</v>
      </c>
      <c r="H52" s="25"/>
      <c r="I52" s="26">
        <v>0.0</v>
      </c>
      <c r="J52" s="29"/>
      <c r="K52" s="28">
        <v>179135.64</v>
      </c>
      <c r="L52" s="29" t="s">
        <v>11</v>
      </c>
    </row>
    <row r="53" ht="15.75" customHeight="1">
      <c r="A53" s="29" t="s">
        <v>34</v>
      </c>
      <c r="B53" s="29" t="s">
        <v>35</v>
      </c>
      <c r="C53" s="26">
        <v>4983976.59</v>
      </c>
      <c r="D53" s="25" t="s">
        <v>11</v>
      </c>
      <c r="E53" s="26">
        <v>4984721.39</v>
      </c>
      <c r="F53" s="26">
        <v>0.0</v>
      </c>
      <c r="G53" s="26">
        <v>4984721.39</v>
      </c>
      <c r="H53" s="25" t="s">
        <v>11</v>
      </c>
      <c r="I53" s="26">
        <v>9968697.98</v>
      </c>
      <c r="J53" s="29" t="s">
        <v>11</v>
      </c>
      <c r="K53" s="28">
        <v>4.003457873E7</v>
      </c>
      <c r="L53" s="29" t="s">
        <v>11</v>
      </c>
    </row>
    <row r="54" ht="15.75" customHeight="1">
      <c r="A54" s="29" t="s">
        <v>36</v>
      </c>
      <c r="B54" s="29" t="s">
        <v>37</v>
      </c>
      <c r="C54" s="26">
        <v>140044.1</v>
      </c>
      <c r="D54" s="25" t="s">
        <v>11</v>
      </c>
      <c r="E54" s="26">
        <v>140074.01</v>
      </c>
      <c r="F54" s="26">
        <v>0.0</v>
      </c>
      <c r="G54" s="26">
        <v>140074.01</v>
      </c>
      <c r="H54" s="25" t="s">
        <v>11</v>
      </c>
      <c r="I54" s="26">
        <v>280118.11</v>
      </c>
      <c r="J54" s="29" t="s">
        <v>11</v>
      </c>
      <c r="K54" s="28">
        <v>1123027.83</v>
      </c>
      <c r="L54" s="29" t="s">
        <v>11</v>
      </c>
    </row>
    <row r="55" ht="15.75" customHeight="1">
      <c r="A55" s="29" t="s">
        <v>38</v>
      </c>
      <c r="B55" s="29" t="s">
        <v>39</v>
      </c>
      <c r="C55" s="26">
        <v>127100.97</v>
      </c>
      <c r="D55" s="25" t="s">
        <v>40</v>
      </c>
      <c r="E55" s="26">
        <v>0.0</v>
      </c>
      <c r="F55" s="26">
        <v>127100.97</v>
      </c>
      <c r="G55" s="26">
        <v>127100.97</v>
      </c>
      <c r="H55" s="25" t="s">
        <v>40</v>
      </c>
      <c r="I55" s="26">
        <v>254201.94</v>
      </c>
      <c r="J55" s="29" t="s">
        <v>40</v>
      </c>
      <c r="K55" s="28">
        <v>1021515.27</v>
      </c>
      <c r="L55" s="29" t="s">
        <v>40</v>
      </c>
    </row>
    <row r="56" ht="15.75" customHeight="1">
      <c r="A56" s="29" t="s">
        <v>41</v>
      </c>
      <c r="B56" s="29" t="s">
        <v>42</v>
      </c>
      <c r="C56" s="26">
        <v>6282956.43</v>
      </c>
      <c r="D56" s="25" t="s">
        <v>40</v>
      </c>
      <c r="E56" s="26">
        <v>0.0</v>
      </c>
      <c r="F56" s="26">
        <v>6282956.43</v>
      </c>
      <c r="G56" s="26">
        <v>6282956.43</v>
      </c>
      <c r="H56" s="25" t="s">
        <v>40</v>
      </c>
      <c r="I56" s="26">
        <v>1.256591286E7</v>
      </c>
      <c r="J56" s="29" t="s">
        <v>40</v>
      </c>
      <c r="K56" s="28">
        <v>5.042758205E7</v>
      </c>
      <c r="L56" s="29" t="s">
        <v>40</v>
      </c>
    </row>
    <row r="57" ht="15.75" customHeight="1">
      <c r="A57" s="29" t="s">
        <v>43</v>
      </c>
      <c r="B57" s="29" t="s">
        <v>44</v>
      </c>
      <c r="C57" s="26">
        <v>1148467.09</v>
      </c>
      <c r="D57" s="25" t="s">
        <v>40</v>
      </c>
      <c r="E57" s="26">
        <v>0.0</v>
      </c>
      <c r="F57" s="26">
        <v>1148467.08</v>
      </c>
      <c r="G57" s="26">
        <v>1148467.08</v>
      </c>
      <c r="H57" s="25" t="s">
        <v>40</v>
      </c>
      <c r="I57" s="26">
        <v>2296934.17</v>
      </c>
      <c r="J57" s="29" t="s">
        <v>40</v>
      </c>
      <c r="K57" s="28">
        <v>9163595.89</v>
      </c>
      <c r="L57" s="29" t="s">
        <v>40</v>
      </c>
    </row>
    <row r="58" ht="15.75" customHeight="1">
      <c r="A58" s="1"/>
      <c r="B58" s="2"/>
      <c r="C58" s="3"/>
      <c r="D58" s="4"/>
      <c r="E58" s="5"/>
      <c r="F58" s="6"/>
      <c r="G58" s="7"/>
      <c r="H58" s="8"/>
      <c r="I58" s="6"/>
      <c r="J58" s="9"/>
      <c r="K58" s="10"/>
      <c r="L58" s="11"/>
      <c r="M58" s="1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ht="15.75" customHeight="1">
      <c r="A59" s="1" t="s">
        <v>0</v>
      </c>
      <c r="B59" s="2" t="s">
        <v>47</v>
      </c>
      <c r="C59" s="3" t="s">
        <v>2</v>
      </c>
      <c r="D59" s="4"/>
      <c r="E59" s="5">
        <v>43977.0</v>
      </c>
      <c r="F59" s="6"/>
      <c r="G59" s="7"/>
      <c r="H59" s="8"/>
      <c r="I59" s="6"/>
      <c r="J59" s="9"/>
      <c r="K59" s="10"/>
      <c r="L59" s="11"/>
      <c r="M59" s="11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ht="15.75" customHeight="1">
      <c r="A60" s="13"/>
      <c r="B60" s="13"/>
      <c r="C60" s="14" t="s">
        <v>3</v>
      </c>
      <c r="D60" s="15"/>
      <c r="E60" s="14" t="s">
        <v>4</v>
      </c>
      <c r="F60" s="14" t="s">
        <v>5</v>
      </c>
      <c r="G60" s="14" t="s">
        <v>6</v>
      </c>
      <c r="H60" s="15"/>
      <c r="I60" s="14" t="s">
        <v>7</v>
      </c>
      <c r="J60" s="13"/>
      <c r="K60" s="17" t="s">
        <v>8</v>
      </c>
      <c r="L60" s="13"/>
      <c r="M60" s="33"/>
    </row>
    <row r="61" ht="15.75" customHeight="1">
      <c r="A61" s="13" t="s">
        <v>9</v>
      </c>
      <c r="B61" s="13" t="s">
        <v>10</v>
      </c>
      <c r="C61" s="14">
        <v>3.496565409E7</v>
      </c>
      <c r="D61" s="15" t="s">
        <v>11</v>
      </c>
      <c r="E61" s="14">
        <v>1.848570512E7</v>
      </c>
      <c r="F61" s="14">
        <v>1018597.08</v>
      </c>
      <c r="G61" s="14">
        <v>1.746710804E7</v>
      </c>
      <c r="H61" s="15" t="s">
        <v>11</v>
      </c>
      <c r="I61" s="14">
        <v>5.243276213E7</v>
      </c>
      <c r="J61" s="13" t="s">
        <v>11</v>
      </c>
      <c r="K61" s="17">
        <v>8.78007313E7</v>
      </c>
      <c r="L61" s="13" t="s">
        <v>11</v>
      </c>
      <c r="M61" s="33"/>
    </row>
    <row r="62" ht="15.75" customHeight="1">
      <c r="A62" s="22" t="s">
        <v>12</v>
      </c>
      <c r="B62" s="22" t="s">
        <v>13</v>
      </c>
      <c r="C62" s="5">
        <v>491417.93</v>
      </c>
      <c r="D62" s="19" t="s">
        <v>11</v>
      </c>
      <c r="E62" s="5">
        <v>258472.95</v>
      </c>
      <c r="F62" s="5">
        <v>12443.84</v>
      </c>
      <c r="G62" s="5">
        <v>246029.11</v>
      </c>
      <c r="H62" s="19" t="s">
        <v>11</v>
      </c>
      <c r="I62" s="5">
        <v>737447.04</v>
      </c>
      <c r="J62" s="22" t="s">
        <v>11</v>
      </c>
      <c r="K62" s="20">
        <v>1267385.78</v>
      </c>
      <c r="L62" s="22" t="s">
        <v>11</v>
      </c>
    </row>
    <row r="63" ht="15.75" customHeight="1">
      <c r="A63" s="13" t="s">
        <v>14</v>
      </c>
      <c r="B63" s="13" t="s">
        <v>15</v>
      </c>
      <c r="C63" s="14">
        <v>1320791.98</v>
      </c>
      <c r="D63" s="15" t="s">
        <v>11</v>
      </c>
      <c r="E63" s="14">
        <v>686901.59</v>
      </c>
      <c r="F63" s="14">
        <v>19276.8</v>
      </c>
      <c r="G63" s="14">
        <v>667624.79</v>
      </c>
      <c r="H63" s="15" t="s">
        <v>11</v>
      </c>
      <c r="I63" s="14">
        <v>1988416.77</v>
      </c>
      <c r="J63" s="13" t="s">
        <v>11</v>
      </c>
      <c r="K63" s="17">
        <v>3323666.35</v>
      </c>
      <c r="L63" s="13" t="s">
        <v>11</v>
      </c>
    </row>
    <row r="64" ht="15.75" customHeight="1">
      <c r="A64" s="22" t="s">
        <v>18</v>
      </c>
      <c r="B64" s="22" t="s">
        <v>19</v>
      </c>
      <c r="C64" s="5">
        <v>1063252.14</v>
      </c>
      <c r="D64" s="19" t="s">
        <v>11</v>
      </c>
      <c r="E64" s="5">
        <v>550804.64</v>
      </c>
      <c r="F64" s="5">
        <v>20022.46</v>
      </c>
      <c r="G64" s="5">
        <v>530782.18</v>
      </c>
      <c r="H64" s="19" t="s">
        <v>11</v>
      </c>
      <c r="I64" s="5">
        <v>1594034.32</v>
      </c>
      <c r="J64" s="22" t="s">
        <v>11</v>
      </c>
      <c r="K64" s="20">
        <v>2649407.64</v>
      </c>
      <c r="L64" s="22" t="s">
        <v>11</v>
      </c>
    </row>
    <row r="65" ht="15.75" customHeight="1">
      <c r="A65" s="13" t="s">
        <v>20</v>
      </c>
      <c r="B65" s="13" t="s">
        <v>21</v>
      </c>
      <c r="C65" s="14">
        <v>2340.0</v>
      </c>
      <c r="D65" s="15" t="s">
        <v>11</v>
      </c>
      <c r="E65" s="14">
        <v>0.0</v>
      </c>
      <c r="F65" s="14">
        <v>0.0</v>
      </c>
      <c r="G65" s="14">
        <v>0.0</v>
      </c>
      <c r="H65" s="15"/>
      <c r="I65" s="14">
        <v>2340.0</v>
      </c>
      <c r="J65" s="13" t="s">
        <v>11</v>
      </c>
      <c r="K65" s="17">
        <v>2340.0</v>
      </c>
      <c r="L65" s="13" t="s">
        <v>11</v>
      </c>
    </row>
    <row r="66" ht="15.75" customHeight="1">
      <c r="A66" s="22" t="s">
        <v>22</v>
      </c>
      <c r="B66" s="22" t="s">
        <v>23</v>
      </c>
      <c r="C66" s="5">
        <v>3023765.88</v>
      </c>
      <c r="D66" s="19" t="s">
        <v>11</v>
      </c>
      <c r="E66" s="5">
        <v>324613.64</v>
      </c>
      <c r="F66" s="5">
        <v>31143.73</v>
      </c>
      <c r="G66" s="5">
        <v>293469.91</v>
      </c>
      <c r="H66" s="19" t="s">
        <v>11</v>
      </c>
      <c r="I66" s="5">
        <v>3317235.79</v>
      </c>
      <c r="J66" s="22" t="s">
        <v>11</v>
      </c>
      <c r="K66" s="20">
        <v>3345978.87</v>
      </c>
      <c r="L66" s="22" t="s">
        <v>11</v>
      </c>
    </row>
    <row r="67" ht="15.75" customHeight="1">
      <c r="A67" s="13" t="s">
        <v>24</v>
      </c>
      <c r="B67" s="13" t="s">
        <v>25</v>
      </c>
      <c r="C67" s="14">
        <v>31400.0</v>
      </c>
      <c r="D67" s="15" t="s">
        <v>11</v>
      </c>
      <c r="E67" s="14">
        <v>18400.0</v>
      </c>
      <c r="F67" s="14">
        <v>0.0</v>
      </c>
      <c r="G67" s="14">
        <v>18400.0</v>
      </c>
      <c r="H67" s="15" t="s">
        <v>11</v>
      </c>
      <c r="I67" s="14">
        <v>49800.0</v>
      </c>
      <c r="J67" s="13" t="s">
        <v>11</v>
      </c>
      <c r="K67" s="17">
        <v>72600.0</v>
      </c>
      <c r="L67" s="13" t="s">
        <v>11</v>
      </c>
    </row>
    <row r="68" ht="15.75" customHeight="1">
      <c r="A68" s="22" t="s">
        <v>26</v>
      </c>
      <c r="B68" s="22" t="s">
        <v>27</v>
      </c>
      <c r="C68" s="5">
        <v>39700.0</v>
      </c>
      <c r="D68" s="19" t="s">
        <v>11</v>
      </c>
      <c r="E68" s="5">
        <v>20000.0</v>
      </c>
      <c r="F68" s="5">
        <v>0.0</v>
      </c>
      <c r="G68" s="5">
        <v>20000.0</v>
      </c>
      <c r="H68" s="19" t="s">
        <v>11</v>
      </c>
      <c r="I68" s="5">
        <v>59700.0</v>
      </c>
      <c r="J68" s="22" t="s">
        <v>11</v>
      </c>
      <c r="K68" s="20">
        <v>83700.0</v>
      </c>
      <c r="L68" s="22" t="s">
        <v>11</v>
      </c>
    </row>
    <row r="69" ht="15.75" customHeight="1">
      <c r="A69" s="13" t="s">
        <v>28</v>
      </c>
      <c r="B69" s="13" t="s">
        <v>29</v>
      </c>
      <c r="C69" s="14">
        <v>4000.39</v>
      </c>
      <c r="D69" s="15" t="s">
        <v>11</v>
      </c>
      <c r="E69" s="14">
        <v>0.0</v>
      </c>
      <c r="F69" s="14">
        <v>0.0</v>
      </c>
      <c r="G69" s="14">
        <v>0.0</v>
      </c>
      <c r="H69" s="15"/>
      <c r="I69" s="14">
        <v>4000.39</v>
      </c>
      <c r="J69" s="13" t="s">
        <v>11</v>
      </c>
      <c r="K69" s="17">
        <v>4000.39</v>
      </c>
      <c r="L69" s="13" t="s">
        <v>11</v>
      </c>
    </row>
    <row r="70" ht="15.75" customHeight="1">
      <c r="A70" s="29" t="s">
        <v>30</v>
      </c>
      <c r="B70" s="29" t="s">
        <v>31</v>
      </c>
      <c r="C70" s="26">
        <v>98155.14</v>
      </c>
      <c r="D70" s="25" t="s">
        <v>11</v>
      </c>
      <c r="E70" s="26">
        <v>10597.32</v>
      </c>
      <c r="F70" s="26">
        <v>0.0</v>
      </c>
      <c r="G70" s="26">
        <v>10597.32</v>
      </c>
      <c r="H70" s="25" t="s">
        <v>11</v>
      </c>
      <c r="I70" s="26">
        <v>108752.46</v>
      </c>
      <c r="J70" s="29" t="s">
        <v>11</v>
      </c>
      <c r="K70" s="28">
        <v>379954.02</v>
      </c>
      <c r="L70" s="29" t="s">
        <v>11</v>
      </c>
      <c r="M70" s="13"/>
    </row>
    <row r="71" ht="15.75" customHeight="1">
      <c r="A71" s="29" t="s">
        <v>32</v>
      </c>
      <c r="B71" s="29" t="s">
        <v>33</v>
      </c>
      <c r="C71" s="26">
        <v>0.0</v>
      </c>
      <c r="D71" s="25"/>
      <c r="E71" s="26">
        <v>2.535506132E7</v>
      </c>
      <c r="F71" s="26">
        <v>2.535506132E7</v>
      </c>
      <c r="G71" s="26">
        <v>0.0</v>
      </c>
      <c r="H71" s="25"/>
      <c r="I71" s="26">
        <v>0.0</v>
      </c>
      <c r="J71" s="29"/>
      <c r="K71" s="28">
        <v>179135.64</v>
      </c>
      <c r="L71" s="29" t="s">
        <v>11</v>
      </c>
    </row>
    <row r="72" ht="15.75" customHeight="1">
      <c r="A72" s="29" t="s">
        <v>34</v>
      </c>
      <c r="B72" s="29" t="s">
        <v>35</v>
      </c>
      <c r="C72" s="26">
        <v>9968697.98</v>
      </c>
      <c r="D72" s="25" t="s">
        <v>11</v>
      </c>
      <c r="E72" s="26">
        <v>4981724.54</v>
      </c>
      <c r="F72" s="26">
        <v>0.0</v>
      </c>
      <c r="G72" s="26">
        <v>4981724.54</v>
      </c>
      <c r="H72" s="25" t="s">
        <v>11</v>
      </c>
      <c r="I72" s="26">
        <v>1.495042252E7</v>
      </c>
      <c r="J72" s="29" t="s">
        <v>11</v>
      </c>
      <c r="K72" s="28">
        <v>4.003457873E7</v>
      </c>
      <c r="L72" s="29" t="s">
        <v>11</v>
      </c>
    </row>
    <row r="73" ht="15.75" customHeight="1">
      <c r="A73" s="29" t="s">
        <v>36</v>
      </c>
      <c r="B73" s="29" t="s">
        <v>37</v>
      </c>
      <c r="C73" s="26">
        <v>280118.11</v>
      </c>
      <c r="D73" s="25" t="s">
        <v>11</v>
      </c>
      <c r="E73" s="26">
        <v>141895.66</v>
      </c>
      <c r="F73" s="26">
        <v>0.0</v>
      </c>
      <c r="G73" s="26">
        <v>141895.66</v>
      </c>
      <c r="H73" s="25" t="s">
        <v>11</v>
      </c>
      <c r="I73" s="26">
        <v>422013.77</v>
      </c>
      <c r="J73" s="29" t="s">
        <v>11</v>
      </c>
      <c r="K73" s="28">
        <v>1123027.83</v>
      </c>
      <c r="L73" s="29" t="s">
        <v>11</v>
      </c>
    </row>
    <row r="74" ht="15.75" customHeight="1">
      <c r="A74" s="29" t="s">
        <v>38</v>
      </c>
      <c r="B74" s="29" t="s">
        <v>39</v>
      </c>
      <c r="C74" s="26">
        <v>254201.94</v>
      </c>
      <c r="D74" s="25" t="s">
        <v>40</v>
      </c>
      <c r="E74" s="26">
        <v>0.0</v>
      </c>
      <c r="F74" s="26">
        <v>127100.97</v>
      </c>
      <c r="G74" s="26">
        <v>127100.97</v>
      </c>
      <c r="H74" s="25" t="s">
        <v>40</v>
      </c>
      <c r="I74" s="26">
        <v>381302.91</v>
      </c>
      <c r="J74" s="29" t="s">
        <v>40</v>
      </c>
      <c r="K74" s="28">
        <v>1021515.27</v>
      </c>
      <c r="L74" s="29" t="s">
        <v>40</v>
      </c>
    </row>
    <row r="75" ht="15.75" customHeight="1">
      <c r="A75" s="29" t="s">
        <v>41</v>
      </c>
      <c r="B75" s="29" t="s">
        <v>42</v>
      </c>
      <c r="C75" s="26">
        <v>1.256591286E7</v>
      </c>
      <c r="D75" s="25" t="s">
        <v>40</v>
      </c>
      <c r="E75" s="26">
        <v>0.0</v>
      </c>
      <c r="F75" s="26">
        <v>6304173.68</v>
      </c>
      <c r="G75" s="26">
        <v>6304173.68</v>
      </c>
      <c r="H75" s="25" t="s">
        <v>40</v>
      </c>
      <c r="I75" s="26">
        <v>1.887008654E7</v>
      </c>
      <c r="J75" s="29" t="s">
        <v>40</v>
      </c>
      <c r="K75" s="28">
        <v>5.042758205E7</v>
      </c>
      <c r="L75" s="29" t="s">
        <v>40</v>
      </c>
    </row>
    <row r="76" ht="15.75" customHeight="1">
      <c r="A76" s="29" t="s">
        <v>43</v>
      </c>
      <c r="B76" s="29" t="s">
        <v>44</v>
      </c>
      <c r="C76" s="26">
        <v>2296934.17</v>
      </c>
      <c r="D76" s="25" t="s">
        <v>40</v>
      </c>
      <c r="E76" s="26">
        <v>0.0</v>
      </c>
      <c r="F76" s="26">
        <v>1144056.91</v>
      </c>
      <c r="G76" s="26">
        <v>1144056.91</v>
      </c>
      <c r="H76" s="25" t="s">
        <v>40</v>
      </c>
      <c r="I76" s="26">
        <v>3440991.08</v>
      </c>
      <c r="J76" s="29" t="s">
        <v>40</v>
      </c>
      <c r="K76" s="28">
        <v>9163595.89</v>
      </c>
      <c r="L76" s="29" t="s">
        <v>40</v>
      </c>
    </row>
    <row r="77" ht="15.75" customHeight="1">
      <c r="A77" s="33"/>
      <c r="B77" s="33"/>
      <c r="C77" s="34"/>
      <c r="D77" s="34"/>
      <c r="E77" s="34"/>
      <c r="F77" s="34"/>
      <c r="G77" s="34"/>
      <c r="H77" s="34"/>
      <c r="I77" s="34"/>
      <c r="J77" s="33"/>
      <c r="K77" s="33"/>
      <c r="L77" s="33"/>
      <c r="M77" s="33"/>
    </row>
    <row r="78" ht="15.75" customHeight="1">
      <c r="A78" s="1" t="s">
        <v>0</v>
      </c>
      <c r="B78" s="2" t="s">
        <v>48</v>
      </c>
      <c r="C78" s="3" t="s">
        <v>2</v>
      </c>
      <c r="D78" s="4"/>
      <c r="E78" s="5">
        <v>43977.0</v>
      </c>
      <c r="F78" s="6"/>
      <c r="G78" s="7"/>
      <c r="H78" s="8"/>
      <c r="I78" s="6"/>
      <c r="J78" s="9"/>
      <c r="K78" s="10"/>
      <c r="L78" s="11"/>
      <c r="M78" s="11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ht="15.75" customHeight="1">
      <c r="A79" s="13"/>
      <c r="B79" s="13"/>
      <c r="C79" s="14" t="s">
        <v>3</v>
      </c>
      <c r="D79" s="15"/>
      <c r="E79" s="14" t="s">
        <v>4</v>
      </c>
      <c r="F79" s="14" t="s">
        <v>5</v>
      </c>
      <c r="G79" s="14" t="s">
        <v>6</v>
      </c>
      <c r="H79" s="15"/>
      <c r="I79" s="14" t="s">
        <v>7</v>
      </c>
      <c r="J79" s="13"/>
      <c r="K79" s="17"/>
      <c r="L79" s="13"/>
      <c r="M79" s="33"/>
    </row>
    <row r="80" ht="15.75" customHeight="1">
      <c r="A80" s="13" t="s">
        <v>9</v>
      </c>
      <c r="B80" s="13" t="s">
        <v>10</v>
      </c>
      <c r="C80" s="14">
        <v>5.243276213E7</v>
      </c>
      <c r="D80" s="15" t="s">
        <v>11</v>
      </c>
      <c r="E80" s="14">
        <v>3.6154191E7</v>
      </c>
      <c r="F80" s="14">
        <v>1.871866802E7</v>
      </c>
      <c r="G80" s="14">
        <v>1.743552298E7</v>
      </c>
      <c r="H80" s="15" t="s">
        <v>11</v>
      </c>
      <c r="I80" s="14">
        <v>6.986828511E7</v>
      </c>
      <c r="J80" s="13" t="s">
        <v>11</v>
      </c>
      <c r="K80" s="17"/>
      <c r="L80" s="13"/>
      <c r="M80" s="33"/>
    </row>
    <row r="81" ht="15.75" customHeight="1">
      <c r="A81" s="22" t="s">
        <v>12</v>
      </c>
      <c r="B81" s="22" t="s">
        <v>13</v>
      </c>
      <c r="C81" s="5">
        <v>737447.04</v>
      </c>
      <c r="D81" s="19" t="s">
        <v>11</v>
      </c>
      <c r="E81" s="5">
        <v>519825.04</v>
      </c>
      <c r="F81" s="5">
        <v>259912.52</v>
      </c>
      <c r="G81" s="5">
        <v>259912.52</v>
      </c>
      <c r="H81" s="19" t="s">
        <v>11</v>
      </c>
      <c r="I81" s="5">
        <v>997359.56</v>
      </c>
      <c r="J81" s="22" t="s">
        <v>11</v>
      </c>
      <c r="K81" s="17"/>
      <c r="L81" s="22"/>
    </row>
    <row r="82" ht="15.75" customHeight="1">
      <c r="A82" s="13" t="s">
        <v>14</v>
      </c>
      <c r="B82" s="13" t="s">
        <v>15</v>
      </c>
      <c r="C82" s="14">
        <v>1988416.77</v>
      </c>
      <c r="D82" s="15" t="s">
        <v>11</v>
      </c>
      <c r="E82" s="14">
        <v>1335249.58</v>
      </c>
      <c r="F82" s="14">
        <v>667624.79</v>
      </c>
      <c r="G82" s="14">
        <v>667624.79</v>
      </c>
      <c r="H82" s="15" t="s">
        <v>11</v>
      </c>
      <c r="I82" s="14">
        <v>2656041.56</v>
      </c>
      <c r="J82" s="13" t="s">
        <v>11</v>
      </c>
      <c r="K82" s="17"/>
      <c r="L82" s="13"/>
    </row>
    <row r="83" ht="15.75" customHeight="1">
      <c r="A83" s="22" t="s">
        <v>18</v>
      </c>
      <c r="B83" s="22" t="s">
        <v>19</v>
      </c>
      <c r="C83" s="5">
        <v>1594034.32</v>
      </c>
      <c r="D83" s="19" t="s">
        <v>11</v>
      </c>
      <c r="E83" s="5">
        <v>1055373.32</v>
      </c>
      <c r="F83" s="5">
        <v>527686.66</v>
      </c>
      <c r="G83" s="5">
        <v>527686.66</v>
      </c>
      <c r="H83" s="19" t="s">
        <v>11</v>
      </c>
      <c r="I83" s="5">
        <v>2121720.98</v>
      </c>
      <c r="J83" s="22" t="s">
        <v>11</v>
      </c>
      <c r="K83" s="17"/>
      <c r="L83" s="22"/>
    </row>
    <row r="84" ht="15.75" customHeight="1">
      <c r="A84" s="13" t="s">
        <v>20</v>
      </c>
      <c r="B84" s="13" t="s">
        <v>21</v>
      </c>
      <c r="C84" s="14">
        <v>2340.0</v>
      </c>
      <c r="D84" s="15" t="s">
        <v>11</v>
      </c>
      <c r="E84" s="14">
        <v>0.0</v>
      </c>
      <c r="F84" s="14">
        <v>0.0</v>
      </c>
      <c r="G84" s="14">
        <v>0.0</v>
      </c>
      <c r="H84" s="15"/>
      <c r="I84" s="14">
        <v>2340.0</v>
      </c>
      <c r="J84" s="13" t="s">
        <v>11</v>
      </c>
      <c r="K84" s="17"/>
      <c r="L84" s="13"/>
    </row>
    <row r="85" ht="15.75" customHeight="1">
      <c r="A85" s="22" t="s">
        <v>22</v>
      </c>
      <c r="B85" s="22" t="s">
        <v>23</v>
      </c>
      <c r="C85" s="5">
        <v>3317235.79</v>
      </c>
      <c r="D85" s="19" t="s">
        <v>11</v>
      </c>
      <c r="E85" s="5">
        <v>210564.34</v>
      </c>
      <c r="F85" s="5">
        <v>161690.38</v>
      </c>
      <c r="G85" s="5">
        <v>48873.96</v>
      </c>
      <c r="H85" s="19" t="s">
        <v>11</v>
      </c>
      <c r="I85" s="5">
        <v>3366109.75</v>
      </c>
      <c r="J85" s="22" t="s">
        <v>11</v>
      </c>
      <c r="K85" s="17"/>
      <c r="L85" s="22"/>
    </row>
    <row r="86" ht="15.75" customHeight="1">
      <c r="A86" s="13" t="s">
        <v>24</v>
      </c>
      <c r="B86" s="13" t="s">
        <v>25</v>
      </c>
      <c r="C86" s="14">
        <v>49800.0</v>
      </c>
      <c r="D86" s="15" t="s">
        <v>11</v>
      </c>
      <c r="E86" s="14">
        <v>12000.0</v>
      </c>
      <c r="F86" s="14">
        <v>0.0</v>
      </c>
      <c r="G86" s="14">
        <v>12000.0</v>
      </c>
      <c r="H86" s="15" t="s">
        <v>11</v>
      </c>
      <c r="I86" s="14">
        <v>61800.0</v>
      </c>
      <c r="J86" s="13" t="s">
        <v>11</v>
      </c>
      <c r="K86" s="17"/>
      <c r="L86" s="13"/>
    </row>
    <row r="87" ht="15.75" customHeight="1">
      <c r="A87" s="22" t="s">
        <v>26</v>
      </c>
      <c r="B87" s="22" t="s">
        <v>27</v>
      </c>
      <c r="C87" s="5">
        <v>59700.0</v>
      </c>
      <c r="D87" s="19" t="s">
        <v>11</v>
      </c>
      <c r="E87" s="5">
        <v>24400.0</v>
      </c>
      <c r="F87" s="5">
        <v>12200.0</v>
      </c>
      <c r="G87" s="5">
        <v>12200.0</v>
      </c>
      <c r="H87" s="19" t="s">
        <v>11</v>
      </c>
      <c r="I87" s="5">
        <v>71900.0</v>
      </c>
      <c r="J87" s="22" t="s">
        <v>11</v>
      </c>
      <c r="K87" s="17"/>
      <c r="L87" s="22"/>
    </row>
    <row r="88" ht="15.75" customHeight="1">
      <c r="A88" s="13" t="s">
        <v>28</v>
      </c>
      <c r="B88" s="13" t="s">
        <v>29</v>
      </c>
      <c r="C88" s="14">
        <v>4000.39</v>
      </c>
      <c r="D88" s="15" t="s">
        <v>11</v>
      </c>
      <c r="E88" s="14">
        <v>0.0</v>
      </c>
      <c r="F88" s="14">
        <v>0.0</v>
      </c>
      <c r="G88" s="14">
        <v>0.0</v>
      </c>
      <c r="H88" s="15"/>
      <c r="I88" s="14">
        <v>4000.39</v>
      </c>
      <c r="J88" s="13" t="s">
        <v>11</v>
      </c>
      <c r="K88" s="17"/>
      <c r="L88" s="13"/>
    </row>
    <row r="89" ht="15.75" customHeight="1">
      <c r="A89" s="29" t="s">
        <v>30</v>
      </c>
      <c r="B89" s="29" t="s">
        <v>31</v>
      </c>
      <c r="C89" s="26">
        <v>108752.46</v>
      </c>
      <c r="D89" s="25" t="s">
        <v>11</v>
      </c>
      <c r="E89" s="26">
        <v>82343.84</v>
      </c>
      <c r="F89" s="26">
        <v>0.0</v>
      </c>
      <c r="G89" s="26">
        <v>82343.84</v>
      </c>
      <c r="H89" s="25" t="s">
        <v>11</v>
      </c>
      <c r="I89" s="26">
        <v>191096.3</v>
      </c>
      <c r="J89" s="29" t="s">
        <v>11</v>
      </c>
      <c r="K89" s="28">
        <v>379954.02</v>
      </c>
      <c r="L89" s="29" t="s">
        <v>11</v>
      </c>
    </row>
    <row r="90" ht="15.75" customHeight="1">
      <c r="A90" s="29" t="s">
        <v>32</v>
      </c>
      <c r="B90" s="29" t="s">
        <v>33</v>
      </c>
      <c r="C90" s="26">
        <v>0.0</v>
      </c>
      <c r="D90" s="25"/>
      <c r="E90" s="26">
        <v>4.513213191E7</v>
      </c>
      <c r="F90" s="26">
        <v>4.513213191E7</v>
      </c>
      <c r="G90" s="26">
        <v>0.0</v>
      </c>
      <c r="H90" s="25"/>
      <c r="I90" s="26">
        <v>0.0</v>
      </c>
      <c r="J90" s="29"/>
      <c r="K90" s="28">
        <v>179135.64</v>
      </c>
      <c r="L90" s="29" t="s">
        <v>11</v>
      </c>
    </row>
    <row r="91" ht="15.75" customHeight="1">
      <c r="A91" s="29" t="s">
        <v>34</v>
      </c>
      <c r="B91" s="29" t="s">
        <v>35</v>
      </c>
      <c r="C91" s="26">
        <v>1.495042252E7</v>
      </c>
      <c r="D91" s="25" t="s">
        <v>11</v>
      </c>
      <c r="E91" s="26">
        <v>9948413.02</v>
      </c>
      <c r="F91" s="26">
        <v>4974206.51</v>
      </c>
      <c r="G91" s="26">
        <v>4974206.51</v>
      </c>
      <c r="H91" s="25" t="s">
        <v>11</v>
      </c>
      <c r="I91" s="26">
        <v>1.992462903E7</v>
      </c>
      <c r="J91" s="29" t="s">
        <v>11</v>
      </c>
      <c r="K91" s="28">
        <v>4.003457873E7</v>
      </c>
      <c r="L91" s="29" t="s">
        <v>11</v>
      </c>
    </row>
    <row r="92" ht="15.75" customHeight="1">
      <c r="A92" s="29" t="s">
        <v>36</v>
      </c>
      <c r="B92" s="29" t="s">
        <v>37</v>
      </c>
      <c r="C92" s="26">
        <v>422013.77</v>
      </c>
      <c r="D92" s="25" t="s">
        <v>11</v>
      </c>
      <c r="E92" s="26">
        <v>139568.76</v>
      </c>
      <c r="F92" s="26">
        <v>0.0</v>
      </c>
      <c r="G92" s="26">
        <v>139568.76</v>
      </c>
      <c r="H92" s="25" t="s">
        <v>11</v>
      </c>
      <c r="I92" s="26">
        <v>561582.53</v>
      </c>
      <c r="J92" s="29" t="s">
        <v>11</v>
      </c>
      <c r="K92" s="28">
        <v>1123027.83</v>
      </c>
      <c r="L92" s="29" t="s">
        <v>11</v>
      </c>
    </row>
    <row r="93" ht="15.75" customHeight="1">
      <c r="A93" s="29" t="s">
        <v>38</v>
      </c>
      <c r="B93" s="29" t="s">
        <v>39</v>
      </c>
      <c r="C93" s="26">
        <v>381302.91</v>
      </c>
      <c r="D93" s="25" t="s">
        <v>40</v>
      </c>
      <c r="E93" s="26">
        <v>100136.22</v>
      </c>
      <c r="F93" s="26">
        <v>227237.19</v>
      </c>
      <c r="G93" s="26">
        <v>127100.97</v>
      </c>
      <c r="H93" s="25" t="s">
        <v>40</v>
      </c>
      <c r="I93" s="26">
        <v>508403.88</v>
      </c>
      <c r="J93" s="29" t="s">
        <v>40</v>
      </c>
      <c r="K93" s="28">
        <v>1021515.27</v>
      </c>
      <c r="L93" s="29" t="s">
        <v>40</v>
      </c>
    </row>
    <row r="94" ht="15.75" customHeight="1">
      <c r="A94" s="29" t="s">
        <v>41</v>
      </c>
      <c r="B94" s="29" t="s">
        <v>42</v>
      </c>
      <c r="C94" s="26">
        <v>1.887008654E7</v>
      </c>
      <c r="D94" s="25" t="s">
        <v>40</v>
      </c>
      <c r="E94" s="26">
        <v>0.0</v>
      </c>
      <c r="F94" s="26">
        <v>6305643.18</v>
      </c>
      <c r="G94" s="26">
        <v>6305643.18</v>
      </c>
      <c r="H94" s="25" t="s">
        <v>40</v>
      </c>
      <c r="I94" s="26">
        <v>2.517572972E7</v>
      </c>
      <c r="J94" s="29" t="s">
        <v>40</v>
      </c>
      <c r="K94" s="28">
        <v>5.042758205E7</v>
      </c>
      <c r="L94" s="29" t="s">
        <v>40</v>
      </c>
    </row>
    <row r="95" ht="15.75" customHeight="1">
      <c r="A95" s="29" t="s">
        <v>43</v>
      </c>
      <c r="B95" s="29" t="s">
        <v>44</v>
      </c>
      <c r="C95" s="26">
        <v>3440991.08</v>
      </c>
      <c r="D95" s="25" t="s">
        <v>40</v>
      </c>
      <c r="E95" s="26">
        <v>0.0</v>
      </c>
      <c r="F95" s="26">
        <v>1144056.91</v>
      </c>
      <c r="G95" s="26">
        <v>1144056.91</v>
      </c>
      <c r="H95" s="25" t="s">
        <v>40</v>
      </c>
      <c r="I95" s="26">
        <v>4585047.99</v>
      </c>
      <c r="J95" s="29" t="s">
        <v>40</v>
      </c>
      <c r="K95" s="28">
        <v>9163595.89</v>
      </c>
      <c r="L95" s="29" t="s">
        <v>40</v>
      </c>
    </row>
    <row r="96" ht="15.75" customHeight="1">
      <c r="C96" s="35"/>
      <c r="D96" s="35"/>
      <c r="E96" s="35"/>
      <c r="F96" s="35"/>
      <c r="G96" s="35"/>
      <c r="H96" s="35"/>
      <c r="I96" s="35"/>
    </row>
    <row r="97" ht="15.75" customHeight="1">
      <c r="A97" s="1" t="s">
        <v>0</v>
      </c>
      <c r="B97" s="2" t="s">
        <v>49</v>
      </c>
      <c r="C97" s="3" t="s">
        <v>2</v>
      </c>
      <c r="D97" s="4"/>
      <c r="E97" s="5">
        <v>44096.0</v>
      </c>
      <c r="F97" s="6"/>
      <c r="G97" s="7"/>
      <c r="H97" s="8"/>
      <c r="I97" s="6"/>
      <c r="J97" s="9"/>
      <c r="K97" s="10"/>
      <c r="L97" s="11"/>
      <c r="M97" s="11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ht="15.75" customHeight="1">
      <c r="C98" s="35"/>
      <c r="D98" s="35"/>
      <c r="E98" s="35"/>
      <c r="F98" s="35"/>
      <c r="G98" s="35"/>
      <c r="H98" s="35"/>
      <c r="I98" s="35"/>
      <c r="M98" s="33"/>
    </row>
    <row r="99" ht="15.75" customHeight="1">
      <c r="A99" s="13" t="s">
        <v>9</v>
      </c>
      <c r="B99" s="13" t="s">
        <v>10</v>
      </c>
      <c r="C99" s="14">
        <v>6.986828511E7</v>
      </c>
      <c r="D99" s="15" t="s">
        <v>11</v>
      </c>
      <c r="E99" s="14">
        <v>1.811124724E7</v>
      </c>
      <c r="F99" s="14">
        <v>641572.52</v>
      </c>
      <c r="G99" s="14">
        <v>1.746967472E7</v>
      </c>
      <c r="H99" s="15" t="s">
        <v>11</v>
      </c>
      <c r="I99" s="14">
        <v>8.733795983E7</v>
      </c>
      <c r="J99" s="13" t="s">
        <v>11</v>
      </c>
      <c r="K99" s="17">
        <v>1.5715472832E8</v>
      </c>
      <c r="L99" s="13" t="s">
        <v>11</v>
      </c>
    </row>
    <row r="100" ht="15.75" customHeight="1">
      <c r="A100" s="22" t="s">
        <v>12</v>
      </c>
      <c r="B100" s="22" t="s">
        <v>13</v>
      </c>
      <c r="C100" s="5">
        <v>997359.56</v>
      </c>
      <c r="D100" s="19" t="s">
        <v>11</v>
      </c>
      <c r="E100" s="5">
        <v>270026.22</v>
      </c>
      <c r="F100" s="5">
        <v>0.0</v>
      </c>
      <c r="G100" s="5">
        <v>270026.22</v>
      </c>
      <c r="H100" s="19" t="s">
        <v>11</v>
      </c>
      <c r="I100" s="5">
        <v>1267385.78</v>
      </c>
      <c r="J100" s="22" t="s">
        <v>11</v>
      </c>
      <c r="K100" s="20">
        <v>2394049.14</v>
      </c>
      <c r="L100" s="22" t="s">
        <v>11</v>
      </c>
    </row>
    <row r="101" ht="15.75" customHeight="1">
      <c r="A101" s="13" t="s">
        <v>14</v>
      </c>
      <c r="B101" s="13" t="s">
        <v>15</v>
      </c>
      <c r="C101" s="14">
        <v>2656041.56</v>
      </c>
      <c r="D101" s="15" t="s">
        <v>11</v>
      </c>
      <c r="E101" s="14">
        <v>667624.79</v>
      </c>
      <c r="F101" s="14">
        <v>0.0</v>
      </c>
      <c r="G101" s="14">
        <v>667624.79</v>
      </c>
      <c r="H101" s="15" t="s">
        <v>11</v>
      </c>
      <c r="I101" s="14">
        <v>3323666.35</v>
      </c>
      <c r="J101" s="13" t="s">
        <v>11</v>
      </c>
      <c r="K101" s="17">
        <v>5958824.68</v>
      </c>
      <c r="L101" s="13" t="s">
        <v>11</v>
      </c>
    </row>
    <row r="102" ht="15.75" customHeight="1">
      <c r="A102" s="22" t="s">
        <v>18</v>
      </c>
      <c r="B102" s="22" t="s">
        <v>19</v>
      </c>
      <c r="C102" s="5">
        <v>2121720.98</v>
      </c>
      <c r="D102" s="19" t="s">
        <v>11</v>
      </c>
      <c r="E102" s="5">
        <v>527686.66</v>
      </c>
      <c r="F102" s="5">
        <v>0.0</v>
      </c>
      <c r="G102" s="5">
        <v>527686.66</v>
      </c>
      <c r="H102" s="19" t="s">
        <v>11</v>
      </c>
      <c r="I102" s="5">
        <v>2649407.64</v>
      </c>
      <c r="J102" s="22" t="s">
        <v>11</v>
      </c>
      <c r="K102" s="20">
        <v>4740723.37</v>
      </c>
      <c r="L102" s="22" t="s">
        <v>11</v>
      </c>
    </row>
    <row r="103" ht="15.75" customHeight="1">
      <c r="A103" s="13" t="s">
        <v>20</v>
      </c>
      <c r="B103" s="13" t="s">
        <v>21</v>
      </c>
      <c r="C103" s="14">
        <v>2340.0</v>
      </c>
      <c r="D103" s="15" t="s">
        <v>11</v>
      </c>
      <c r="E103" s="14">
        <v>0.0</v>
      </c>
      <c r="F103" s="14">
        <v>0.0</v>
      </c>
      <c r="G103" s="14">
        <v>0.0</v>
      </c>
      <c r="H103" s="15"/>
      <c r="I103" s="14">
        <v>2340.0</v>
      </c>
      <c r="J103" s="13" t="s">
        <v>11</v>
      </c>
      <c r="K103" s="17">
        <v>42272.34</v>
      </c>
      <c r="L103" s="13" t="s">
        <v>11</v>
      </c>
    </row>
    <row r="104" ht="15.75" customHeight="1">
      <c r="A104" s="22" t="s">
        <v>22</v>
      </c>
      <c r="B104" s="22" t="s">
        <v>23</v>
      </c>
      <c r="C104" s="5">
        <v>3366109.75</v>
      </c>
      <c r="D104" s="19" t="s">
        <v>11</v>
      </c>
      <c r="E104" s="5">
        <v>0.0</v>
      </c>
      <c r="F104" s="5">
        <v>20130.88</v>
      </c>
      <c r="G104" s="5">
        <v>20130.88</v>
      </c>
      <c r="H104" s="19" t="s">
        <v>40</v>
      </c>
      <c r="I104" s="5">
        <v>3345978.87</v>
      </c>
      <c r="J104" s="22" t="s">
        <v>11</v>
      </c>
      <c r="K104" s="20">
        <v>3753215.46</v>
      </c>
      <c r="L104" s="22" t="s">
        <v>11</v>
      </c>
    </row>
    <row r="105" ht="15.75" customHeight="1">
      <c r="A105" s="13" t="s">
        <v>24</v>
      </c>
      <c r="B105" s="13" t="s">
        <v>25</v>
      </c>
      <c r="C105" s="14">
        <v>61800.0</v>
      </c>
      <c r="D105" s="15" t="s">
        <v>11</v>
      </c>
      <c r="E105" s="14">
        <v>10800.0</v>
      </c>
      <c r="F105" s="14">
        <v>0.0</v>
      </c>
      <c r="G105" s="14">
        <v>10800.0</v>
      </c>
      <c r="H105" s="15" t="s">
        <v>11</v>
      </c>
      <c r="I105" s="14">
        <v>72600.0</v>
      </c>
      <c r="J105" s="13" t="s">
        <v>11</v>
      </c>
      <c r="K105" s="17">
        <v>132000.0</v>
      </c>
      <c r="L105" s="13" t="s">
        <v>11</v>
      </c>
    </row>
    <row r="106" ht="15.75" customHeight="1">
      <c r="A106" s="29" t="s">
        <v>26</v>
      </c>
      <c r="B106" s="29" t="s">
        <v>27</v>
      </c>
      <c r="C106" s="26">
        <v>71900.0</v>
      </c>
      <c r="D106" s="25" t="s">
        <v>11</v>
      </c>
      <c r="E106" s="26">
        <v>11800.0</v>
      </c>
      <c r="F106" s="26">
        <v>0.0</v>
      </c>
      <c r="G106" s="26">
        <v>11800.0</v>
      </c>
      <c r="H106" s="25" t="s">
        <v>11</v>
      </c>
      <c r="I106" s="26">
        <v>83700.0</v>
      </c>
      <c r="J106" s="29" t="s">
        <v>11</v>
      </c>
      <c r="K106" s="28">
        <v>150700.0</v>
      </c>
      <c r="L106" s="29" t="s">
        <v>11</v>
      </c>
      <c r="M106" s="22"/>
    </row>
    <row r="107" ht="15.75" customHeight="1">
      <c r="A107" s="29" t="s">
        <v>28</v>
      </c>
      <c r="B107" s="29" t="s">
        <v>29</v>
      </c>
      <c r="C107" s="26">
        <v>4000.39</v>
      </c>
      <c r="D107" s="25" t="s">
        <v>11</v>
      </c>
      <c r="E107" s="26">
        <v>0.0</v>
      </c>
      <c r="F107" s="26">
        <v>0.0</v>
      </c>
      <c r="G107" s="26">
        <v>0.0</v>
      </c>
      <c r="H107" s="25"/>
      <c r="I107" s="26">
        <v>4000.39</v>
      </c>
      <c r="J107" s="29" t="s">
        <v>11</v>
      </c>
      <c r="K107" s="28">
        <v>4000.39</v>
      </c>
      <c r="L107" s="29" t="s">
        <v>11</v>
      </c>
      <c r="M107" s="22"/>
    </row>
    <row r="108" ht="15.75" customHeight="1">
      <c r="A108" s="29" t="s">
        <v>30</v>
      </c>
      <c r="B108" s="29" t="s">
        <v>31</v>
      </c>
      <c r="C108" s="26">
        <v>191096.3</v>
      </c>
      <c r="D108" s="25" t="s">
        <v>11</v>
      </c>
      <c r="E108" s="26">
        <v>49190.98</v>
      </c>
      <c r="F108" s="26">
        <v>0.0</v>
      </c>
      <c r="G108" s="26">
        <v>49190.98</v>
      </c>
      <c r="H108" s="25" t="s">
        <v>11</v>
      </c>
      <c r="I108" s="26">
        <v>240287.28</v>
      </c>
      <c r="J108" s="29" t="s">
        <v>11</v>
      </c>
      <c r="K108" s="28">
        <v>379954.02</v>
      </c>
      <c r="L108" s="29" t="s">
        <v>11</v>
      </c>
      <c r="M108" s="13"/>
    </row>
    <row r="109" ht="15.75" customHeight="1">
      <c r="A109" s="29" t="s">
        <v>32</v>
      </c>
      <c r="B109" s="29" t="s">
        <v>50</v>
      </c>
      <c r="C109" s="26">
        <v>0.0</v>
      </c>
      <c r="D109" s="25"/>
      <c r="E109" s="26">
        <v>2.379925287E7</v>
      </c>
      <c r="F109" s="26">
        <v>2.379925287E7</v>
      </c>
      <c r="G109" s="26">
        <v>0.0</v>
      </c>
      <c r="H109" s="25"/>
      <c r="I109" s="26">
        <v>0.0</v>
      </c>
      <c r="J109" s="29"/>
      <c r="K109" s="28">
        <v>3499179.45</v>
      </c>
      <c r="L109" s="29" t="s">
        <v>11</v>
      </c>
      <c r="M109" s="13"/>
    </row>
    <row r="110" ht="15.75" customHeight="1">
      <c r="A110" s="29" t="s">
        <v>34</v>
      </c>
      <c r="B110" s="29" t="s">
        <v>35</v>
      </c>
      <c r="C110" s="26">
        <v>1.992462903E7</v>
      </c>
      <c r="D110" s="25" t="s">
        <v>11</v>
      </c>
      <c r="E110" s="26">
        <v>4983427.48</v>
      </c>
      <c r="F110" s="26">
        <v>0.0</v>
      </c>
      <c r="G110" s="26">
        <v>4983427.48</v>
      </c>
      <c r="H110" s="25" t="s">
        <v>11</v>
      </c>
      <c r="I110" s="26">
        <v>2.490805651E7</v>
      </c>
      <c r="J110" s="29" t="s">
        <v>11</v>
      </c>
      <c r="K110" s="28">
        <v>4.003457873E7</v>
      </c>
      <c r="L110" s="29" t="s">
        <v>11</v>
      </c>
    </row>
    <row r="111" ht="15.75" customHeight="1">
      <c r="A111" s="29" t="s">
        <v>36</v>
      </c>
      <c r="B111" s="29" t="s">
        <v>37</v>
      </c>
      <c r="C111" s="26">
        <v>561582.53</v>
      </c>
      <c r="D111" s="25" t="s">
        <v>11</v>
      </c>
      <c r="E111" s="26">
        <v>139568.76</v>
      </c>
      <c r="F111" s="26">
        <v>0.0</v>
      </c>
      <c r="G111" s="26">
        <v>139568.76</v>
      </c>
      <c r="H111" s="25" t="s">
        <v>11</v>
      </c>
      <c r="I111" s="26">
        <v>701151.29</v>
      </c>
      <c r="J111" s="29" t="s">
        <v>11</v>
      </c>
      <c r="K111" s="28">
        <v>1123027.83</v>
      </c>
      <c r="L111" s="29" t="s">
        <v>11</v>
      </c>
    </row>
    <row r="112" ht="15.75" customHeight="1">
      <c r="A112" s="29" t="s">
        <v>38</v>
      </c>
      <c r="B112" s="29" t="s">
        <v>39</v>
      </c>
      <c r="C112" s="26">
        <v>508403.88</v>
      </c>
      <c r="D112" s="25" t="s">
        <v>40</v>
      </c>
      <c r="E112" s="26">
        <v>0.0</v>
      </c>
      <c r="F112" s="26">
        <v>127100.97</v>
      </c>
      <c r="G112" s="26">
        <v>127100.97</v>
      </c>
      <c r="H112" s="25" t="s">
        <v>40</v>
      </c>
      <c r="I112" s="26">
        <v>635504.85</v>
      </c>
      <c r="J112" s="29" t="s">
        <v>40</v>
      </c>
      <c r="K112" s="28">
        <v>1021515.27</v>
      </c>
      <c r="L112" s="29" t="s">
        <v>40</v>
      </c>
    </row>
    <row r="113" ht="15.75" customHeight="1">
      <c r="A113" s="29" t="s">
        <v>41</v>
      </c>
      <c r="B113" s="29" t="s">
        <v>42</v>
      </c>
      <c r="C113" s="26">
        <v>2.517572972E7</v>
      </c>
      <c r="D113" s="25" t="s">
        <v>40</v>
      </c>
      <c r="E113" s="26">
        <v>0.0</v>
      </c>
      <c r="F113" s="26">
        <v>6305643.18</v>
      </c>
      <c r="G113" s="26">
        <v>6305643.18</v>
      </c>
      <c r="H113" s="25" t="s">
        <v>40</v>
      </c>
      <c r="I113" s="26">
        <v>3.14813729E7</v>
      </c>
      <c r="J113" s="29" t="s">
        <v>40</v>
      </c>
      <c r="K113" s="28">
        <v>5.042758205E7</v>
      </c>
      <c r="L113" s="29" t="s">
        <v>40</v>
      </c>
    </row>
    <row r="114" ht="15.75" customHeight="1">
      <c r="A114" s="29" t="s">
        <v>43</v>
      </c>
      <c r="B114" s="29" t="s">
        <v>44</v>
      </c>
      <c r="C114" s="26">
        <v>4585047.99</v>
      </c>
      <c r="D114" s="25" t="s">
        <v>40</v>
      </c>
      <c r="E114" s="26">
        <v>0.0</v>
      </c>
      <c r="F114" s="26">
        <v>1195389.16</v>
      </c>
      <c r="G114" s="26">
        <v>1195389.16</v>
      </c>
      <c r="H114" s="25" t="s">
        <v>40</v>
      </c>
      <c r="I114" s="26">
        <v>5780437.15</v>
      </c>
      <c r="J114" s="29" t="s">
        <v>40</v>
      </c>
      <c r="K114" s="28">
        <v>9163595.89</v>
      </c>
      <c r="L114" s="29" t="s">
        <v>40</v>
      </c>
    </row>
    <row r="115" ht="15.75" customHeight="1">
      <c r="C115" s="35"/>
      <c r="D115" s="35"/>
      <c r="E115" s="35"/>
      <c r="F115" s="35"/>
      <c r="G115" s="35"/>
      <c r="H115" s="35"/>
      <c r="I115" s="35"/>
      <c r="M115" s="13"/>
    </row>
    <row r="116" ht="15.75" customHeight="1">
      <c r="A116" s="1" t="s">
        <v>0</v>
      </c>
      <c r="B116" s="2" t="s">
        <v>51</v>
      </c>
      <c r="C116" s="3" t="s">
        <v>2</v>
      </c>
      <c r="D116" s="4"/>
      <c r="E116" s="5"/>
      <c r="F116" s="6"/>
      <c r="G116" s="7"/>
      <c r="H116" s="8"/>
      <c r="I116" s="6"/>
      <c r="J116" s="9"/>
      <c r="K116" s="10"/>
      <c r="L116" s="11"/>
      <c r="M116" s="11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ht="15.75" customHeight="1">
      <c r="A117" s="33"/>
      <c r="B117" s="33"/>
      <c r="C117" s="34"/>
      <c r="D117" s="34"/>
      <c r="E117" s="34"/>
      <c r="F117" s="34"/>
      <c r="G117" s="34"/>
      <c r="H117" s="34"/>
      <c r="I117" s="34"/>
      <c r="J117" s="33"/>
      <c r="K117" s="33"/>
      <c r="L117" s="33"/>
      <c r="M117" s="22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ht="15.75" customHeight="1">
      <c r="A118" s="13" t="s">
        <v>9</v>
      </c>
      <c r="B118" s="13" t="s">
        <v>10</v>
      </c>
      <c r="C118" s="14">
        <v>8.733795983E7</v>
      </c>
      <c r="D118" s="15" t="s">
        <v>11</v>
      </c>
      <c r="E118" s="14">
        <v>1.812161659E7</v>
      </c>
      <c r="F118" s="14">
        <v>641572.52</v>
      </c>
      <c r="G118" s="14">
        <v>1.748004407E7</v>
      </c>
      <c r="H118" s="15" t="s">
        <v>11</v>
      </c>
      <c r="I118" s="14">
        <v>1.048180039E8</v>
      </c>
      <c r="J118" s="13" t="s">
        <v>11</v>
      </c>
      <c r="K118" s="17">
        <v>1.5800397801E8</v>
      </c>
      <c r="L118" s="13" t="s">
        <v>11</v>
      </c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ht="15.75" customHeight="1">
      <c r="A119" s="22" t="s">
        <v>12</v>
      </c>
      <c r="B119" s="22" t="s">
        <v>13</v>
      </c>
      <c r="C119" s="20">
        <v>1267385.78</v>
      </c>
      <c r="D119" s="22" t="s">
        <v>11</v>
      </c>
      <c r="E119" s="20">
        <v>281946.18</v>
      </c>
      <c r="F119" s="23">
        <v>0.0</v>
      </c>
      <c r="G119" s="20">
        <v>281946.18</v>
      </c>
      <c r="H119" s="22" t="s">
        <v>11</v>
      </c>
      <c r="I119" s="20">
        <v>1549331.96</v>
      </c>
      <c r="J119" s="22" t="s">
        <v>11</v>
      </c>
      <c r="K119" s="20">
        <v>2420854.7</v>
      </c>
      <c r="L119" s="22" t="s">
        <v>11</v>
      </c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ht="15.75" customHeight="1">
      <c r="A120" s="13" t="s">
        <v>14</v>
      </c>
      <c r="B120" s="15" t="s">
        <v>15</v>
      </c>
      <c r="C120" s="14">
        <v>3323666.35</v>
      </c>
      <c r="D120" s="15" t="s">
        <v>11</v>
      </c>
      <c r="E120" s="14">
        <v>667624.79</v>
      </c>
      <c r="F120" s="14">
        <v>0.0</v>
      </c>
      <c r="G120" s="14">
        <v>667624.79</v>
      </c>
      <c r="H120" s="15" t="s">
        <v>11</v>
      </c>
      <c r="I120" s="17">
        <v>3991291.14</v>
      </c>
      <c r="J120" s="13" t="s">
        <v>11</v>
      </c>
      <c r="K120" s="17">
        <v>5978101.48</v>
      </c>
      <c r="L120" s="13" t="s">
        <v>11</v>
      </c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ht="15.75" customHeight="1">
      <c r="A121" s="22" t="s">
        <v>18</v>
      </c>
      <c r="B121" s="19" t="s">
        <v>19</v>
      </c>
      <c r="C121" s="5">
        <v>2649407.64</v>
      </c>
      <c r="D121" s="19" t="s">
        <v>11</v>
      </c>
      <c r="E121" s="5">
        <v>528108.71</v>
      </c>
      <c r="F121" s="5">
        <v>0.0</v>
      </c>
      <c r="G121" s="5">
        <v>528108.71</v>
      </c>
      <c r="H121" s="19" t="s">
        <v>11</v>
      </c>
      <c r="I121" s="20">
        <v>3177516.35</v>
      </c>
      <c r="J121" s="22" t="s">
        <v>11</v>
      </c>
      <c r="K121" s="20">
        <v>4768564.59</v>
      </c>
      <c r="L121" s="22" t="s">
        <v>11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ht="15.75" customHeight="1">
      <c r="A122" s="13" t="s">
        <v>20</v>
      </c>
      <c r="B122" s="15" t="s">
        <v>21</v>
      </c>
      <c r="C122" s="14">
        <v>2340.0</v>
      </c>
      <c r="D122" s="15" t="s">
        <v>11</v>
      </c>
      <c r="E122" s="14">
        <v>0.0</v>
      </c>
      <c r="F122" s="14">
        <v>0.0</v>
      </c>
      <c r="G122" s="14">
        <v>0.0</v>
      </c>
      <c r="H122" s="15"/>
      <c r="I122" s="17">
        <v>2340.0</v>
      </c>
      <c r="J122" s="24" t="s">
        <v>11</v>
      </c>
      <c r="K122" s="17">
        <v>42272.34</v>
      </c>
      <c r="L122" s="13" t="s">
        <v>11</v>
      </c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ht="15.75" customHeight="1">
      <c r="A123" s="29" t="s">
        <v>22</v>
      </c>
      <c r="B123" s="25" t="s">
        <v>23</v>
      </c>
      <c r="C123" s="26">
        <v>3345978.87</v>
      </c>
      <c r="D123" s="25" t="s">
        <v>11</v>
      </c>
      <c r="E123" s="26">
        <v>0.0</v>
      </c>
      <c r="F123" s="26">
        <v>0.0</v>
      </c>
      <c r="G123" s="26">
        <v>0.0</v>
      </c>
      <c r="H123" s="25"/>
      <c r="I123" s="28">
        <v>3345978.87</v>
      </c>
      <c r="J123" s="29" t="s">
        <v>11</v>
      </c>
      <c r="K123" s="28">
        <v>3782377.92</v>
      </c>
      <c r="L123" s="29" t="s">
        <v>11</v>
      </c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ht="15.75" customHeight="1">
      <c r="A124" s="29" t="s">
        <v>24</v>
      </c>
      <c r="B124" s="29" t="s">
        <v>25</v>
      </c>
      <c r="C124" s="26">
        <v>72600.0</v>
      </c>
      <c r="D124" s="25" t="s">
        <v>11</v>
      </c>
      <c r="E124" s="26">
        <v>12400.0</v>
      </c>
      <c r="F124" s="26">
        <v>0.0</v>
      </c>
      <c r="G124" s="26">
        <v>12400.0</v>
      </c>
      <c r="H124" s="25" t="s">
        <v>11</v>
      </c>
      <c r="I124" s="26">
        <v>85000.0</v>
      </c>
      <c r="J124" s="29" t="s">
        <v>11</v>
      </c>
      <c r="K124" s="28">
        <v>132000.0</v>
      </c>
      <c r="L124" s="29" t="s">
        <v>11</v>
      </c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ht="15.75" customHeight="1">
      <c r="A125" s="29" t="s">
        <v>26</v>
      </c>
      <c r="B125" s="29" t="s">
        <v>27</v>
      </c>
      <c r="C125" s="28">
        <v>83700.0</v>
      </c>
      <c r="D125" s="29" t="s">
        <v>11</v>
      </c>
      <c r="E125" s="28">
        <v>14600.0</v>
      </c>
      <c r="F125" s="30">
        <v>0.0</v>
      </c>
      <c r="G125" s="28">
        <v>14600.0</v>
      </c>
      <c r="H125" s="29" t="s">
        <v>11</v>
      </c>
      <c r="I125" s="28">
        <v>98300.0</v>
      </c>
      <c r="J125" s="29" t="s">
        <v>11</v>
      </c>
      <c r="K125" s="28">
        <v>150700.0</v>
      </c>
      <c r="L125" s="29" t="s">
        <v>11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ht="15.75" customHeight="1">
      <c r="A126" s="29" t="s">
        <v>28</v>
      </c>
      <c r="B126" s="29" t="s">
        <v>29</v>
      </c>
      <c r="C126" s="26">
        <v>4000.39</v>
      </c>
      <c r="D126" s="25" t="s">
        <v>11</v>
      </c>
      <c r="E126" s="26">
        <v>0.0</v>
      </c>
      <c r="F126" s="26">
        <v>0.0</v>
      </c>
      <c r="G126" s="26">
        <v>0.0</v>
      </c>
      <c r="H126" s="25"/>
      <c r="I126" s="26">
        <v>4000.39</v>
      </c>
      <c r="J126" s="29" t="s">
        <v>11</v>
      </c>
      <c r="K126" s="28">
        <v>4000.39</v>
      </c>
      <c r="L126" s="29" t="s">
        <v>11</v>
      </c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ht="15.75" customHeight="1">
      <c r="A127" s="29" t="s">
        <v>30</v>
      </c>
      <c r="B127" s="29" t="s">
        <v>31</v>
      </c>
      <c r="C127" s="26">
        <v>240287.28</v>
      </c>
      <c r="D127" s="25" t="s">
        <v>11</v>
      </c>
      <c r="E127" s="26">
        <v>46470.58</v>
      </c>
      <c r="F127" s="26">
        <v>0.0</v>
      </c>
      <c r="G127" s="26">
        <v>46470.58</v>
      </c>
      <c r="H127" s="25" t="s">
        <v>11</v>
      </c>
      <c r="I127" s="26">
        <v>286757.86</v>
      </c>
      <c r="J127" s="29" t="s">
        <v>11</v>
      </c>
      <c r="K127" s="28">
        <v>379954.02</v>
      </c>
      <c r="L127" s="29" t="s">
        <v>11</v>
      </c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ht="15.75" customHeight="1">
      <c r="A128" s="29" t="s">
        <v>32</v>
      </c>
      <c r="B128" s="29" t="s">
        <v>50</v>
      </c>
      <c r="C128" s="30">
        <v>0.0</v>
      </c>
      <c r="D128" s="29"/>
      <c r="E128" s="28">
        <v>2.373984297E7</v>
      </c>
      <c r="F128" s="28">
        <v>2.373984297E7</v>
      </c>
      <c r="G128" s="30">
        <v>0.0</v>
      </c>
      <c r="H128" s="29"/>
      <c r="I128" s="30">
        <v>0.0</v>
      </c>
      <c r="J128" s="29"/>
      <c r="K128" s="28">
        <v>179135.64</v>
      </c>
      <c r="L128" s="29" t="s">
        <v>11</v>
      </c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ht="15.75" customHeight="1">
      <c r="A129" s="29" t="s">
        <v>34</v>
      </c>
      <c r="B129" s="29" t="s">
        <v>35</v>
      </c>
      <c r="C129" s="26">
        <v>2.490805651E7</v>
      </c>
      <c r="D129" s="25" t="s">
        <v>11</v>
      </c>
      <c r="E129" s="26">
        <v>4986341.15</v>
      </c>
      <c r="F129" s="26">
        <v>0.0</v>
      </c>
      <c r="G129" s="26">
        <v>4986341.15</v>
      </c>
      <c r="H129" s="25" t="s">
        <v>11</v>
      </c>
      <c r="I129" s="26">
        <v>2.989439766E7</v>
      </c>
      <c r="J129" s="29" t="s">
        <v>11</v>
      </c>
      <c r="K129" s="28">
        <v>4.003457873E7</v>
      </c>
      <c r="L129" s="29" t="s">
        <v>11</v>
      </c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ht="15.75" customHeight="1">
      <c r="A130" s="29" t="s">
        <v>36</v>
      </c>
      <c r="B130" s="29" t="s">
        <v>37</v>
      </c>
      <c r="C130" s="26">
        <v>701151.29</v>
      </c>
      <c r="D130" s="25" t="s">
        <v>11</v>
      </c>
      <c r="E130" s="26">
        <v>139568.76</v>
      </c>
      <c r="F130" s="26">
        <v>0.0</v>
      </c>
      <c r="G130" s="26">
        <v>139568.76</v>
      </c>
      <c r="H130" s="25" t="s">
        <v>11</v>
      </c>
      <c r="I130" s="26">
        <v>840720.05</v>
      </c>
      <c r="J130" s="29" t="s">
        <v>11</v>
      </c>
      <c r="K130" s="28">
        <v>1123027.83</v>
      </c>
      <c r="L130" s="29" t="s">
        <v>11</v>
      </c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ht="15.75" customHeight="1">
      <c r="A131" s="29" t="s">
        <v>38</v>
      </c>
      <c r="B131" s="29" t="s">
        <v>39</v>
      </c>
      <c r="C131" s="26">
        <v>635504.85</v>
      </c>
      <c r="D131" s="25" t="s">
        <v>40</v>
      </c>
      <c r="E131" s="26">
        <v>0.0</v>
      </c>
      <c r="F131" s="26">
        <v>127100.97</v>
      </c>
      <c r="G131" s="26">
        <v>127100.97</v>
      </c>
      <c r="H131" s="25" t="s">
        <v>40</v>
      </c>
      <c r="I131" s="26">
        <v>762605.82</v>
      </c>
      <c r="J131" s="29" t="s">
        <v>40</v>
      </c>
      <c r="K131" s="28">
        <v>1021515.27</v>
      </c>
      <c r="L131" s="29" t="s">
        <v>40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ht="15.75" customHeight="1">
      <c r="A132" s="29" t="s">
        <v>41</v>
      </c>
      <c r="B132" s="29" t="s">
        <v>42</v>
      </c>
      <c r="C132" s="26">
        <v>3.14813729E7</v>
      </c>
      <c r="D132" s="25" t="s">
        <v>40</v>
      </c>
      <c r="E132" s="26">
        <v>0.0</v>
      </c>
      <c r="F132" s="26">
        <v>6305643.18</v>
      </c>
      <c r="G132" s="26">
        <v>6305643.18</v>
      </c>
      <c r="H132" s="25" t="s">
        <v>40</v>
      </c>
      <c r="I132" s="26">
        <v>3.778701608E7</v>
      </c>
      <c r="J132" s="29" t="s">
        <v>40</v>
      </c>
      <c r="K132" s="28">
        <v>5.042758205E7</v>
      </c>
      <c r="L132" s="29" t="s">
        <v>40</v>
      </c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ht="15.75" customHeight="1">
      <c r="A133" s="29" t="s">
        <v>43</v>
      </c>
      <c r="B133" s="29" t="s">
        <v>44</v>
      </c>
      <c r="C133" s="26">
        <v>5780437.15</v>
      </c>
      <c r="D133" s="25" t="s">
        <v>40</v>
      </c>
      <c r="E133" s="26">
        <v>0.0</v>
      </c>
      <c r="F133" s="26">
        <v>1133038.62</v>
      </c>
      <c r="G133" s="26">
        <v>1133038.62</v>
      </c>
      <c r="H133" s="25" t="s">
        <v>40</v>
      </c>
      <c r="I133" s="26">
        <v>6913475.77</v>
      </c>
      <c r="J133" s="29" t="s">
        <v>40</v>
      </c>
      <c r="K133" s="28">
        <v>9163595.89</v>
      </c>
      <c r="L133" s="29" t="s">
        <v>40</v>
      </c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ht="15.75" customHeight="1">
      <c r="A134" s="22"/>
      <c r="B134" s="22"/>
      <c r="C134" s="5"/>
      <c r="D134" s="19"/>
      <c r="E134" s="5"/>
      <c r="F134" s="5"/>
      <c r="G134" s="5"/>
      <c r="H134" s="19"/>
      <c r="I134" s="5"/>
      <c r="J134" s="22"/>
      <c r="K134" s="20"/>
      <c r="L134" s="22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ht="15.75" customHeight="1">
      <c r="A135" s="1" t="s">
        <v>0</v>
      </c>
      <c r="B135" s="2" t="s">
        <v>52</v>
      </c>
      <c r="C135" s="3" t="s">
        <v>2</v>
      </c>
      <c r="D135" s="4"/>
      <c r="E135" s="5"/>
      <c r="F135" s="6"/>
      <c r="G135" s="7"/>
      <c r="H135" s="8"/>
      <c r="I135" s="6"/>
      <c r="J135" s="9"/>
      <c r="K135" s="10"/>
      <c r="L135" s="11"/>
      <c r="M135" s="11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ht="15.75" customHeight="1">
      <c r="A136" s="36"/>
      <c r="B136" s="37"/>
      <c r="C136" s="38"/>
      <c r="D136" s="39"/>
      <c r="E136" s="5"/>
      <c r="F136" s="6"/>
      <c r="G136" s="7"/>
      <c r="H136" s="8"/>
      <c r="I136" s="6"/>
      <c r="J136" s="9"/>
      <c r="K136" s="10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ht="15.75" customHeight="1">
      <c r="A137" s="13" t="s">
        <v>9</v>
      </c>
      <c r="B137" s="13" t="s">
        <v>10</v>
      </c>
      <c r="C137" s="14">
        <v>1.048180039E8</v>
      </c>
      <c r="D137" s="15" t="s">
        <v>11</v>
      </c>
      <c r="E137" s="14">
        <v>1.810789174E7</v>
      </c>
      <c r="F137" s="14">
        <v>641989.78</v>
      </c>
      <c r="G137" s="14">
        <v>1.746590196E7</v>
      </c>
      <c r="H137" s="15" t="s">
        <v>11</v>
      </c>
      <c r="I137" s="14">
        <v>1.2228390586E8</v>
      </c>
      <c r="J137" s="13" t="s">
        <v>11</v>
      </c>
      <c r="K137" s="17">
        <v>1.5800397801E8</v>
      </c>
      <c r="L137" s="13" t="s">
        <v>11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ht="15.75" customHeight="1">
      <c r="A138" s="22" t="s">
        <v>12</v>
      </c>
      <c r="B138" s="21" t="s">
        <v>13</v>
      </c>
      <c r="C138" s="20">
        <v>1549331.96</v>
      </c>
      <c r="D138" s="21" t="s">
        <v>11</v>
      </c>
      <c r="E138" s="20">
        <v>284526.68</v>
      </c>
      <c r="F138" s="20">
        <v>0.0</v>
      </c>
      <c r="G138" s="20">
        <v>284526.68</v>
      </c>
      <c r="H138" s="21" t="s">
        <v>11</v>
      </c>
      <c r="I138" s="20">
        <v>1833858.64</v>
      </c>
      <c r="J138" s="21" t="s">
        <v>11</v>
      </c>
      <c r="K138" s="20">
        <v>2420854.7</v>
      </c>
      <c r="L138" s="22" t="s">
        <v>11</v>
      </c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ht="15.75" customHeight="1">
      <c r="A139" s="15" t="s">
        <v>14</v>
      </c>
      <c r="B139" s="15" t="s">
        <v>15</v>
      </c>
      <c r="C139" s="14">
        <v>3991291.14</v>
      </c>
      <c r="D139" s="15" t="s">
        <v>11</v>
      </c>
      <c r="E139" s="14">
        <v>667624.79</v>
      </c>
      <c r="F139" s="14">
        <v>0.0</v>
      </c>
      <c r="G139" s="14">
        <v>667624.79</v>
      </c>
      <c r="H139" s="24" t="s">
        <v>11</v>
      </c>
      <c r="I139" s="17">
        <v>4658915.93</v>
      </c>
      <c r="J139" s="24" t="s">
        <v>11</v>
      </c>
      <c r="K139" s="17">
        <v>5978101.48</v>
      </c>
      <c r="L139" s="13" t="s">
        <v>11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ht="15.75" customHeight="1">
      <c r="A140" s="19" t="s">
        <v>18</v>
      </c>
      <c r="B140" s="19" t="s">
        <v>19</v>
      </c>
      <c r="C140" s="5">
        <v>3177516.35</v>
      </c>
      <c r="D140" s="19" t="s">
        <v>11</v>
      </c>
      <c r="E140" s="5">
        <v>528108.71</v>
      </c>
      <c r="F140" s="5">
        <v>0.0</v>
      </c>
      <c r="G140" s="5">
        <v>528108.71</v>
      </c>
      <c r="H140" s="21" t="s">
        <v>11</v>
      </c>
      <c r="I140" s="20">
        <v>3705625.06</v>
      </c>
      <c r="J140" s="21" t="s">
        <v>11</v>
      </c>
      <c r="K140" s="20">
        <v>4768564.59</v>
      </c>
      <c r="L140" s="22" t="s">
        <v>11</v>
      </c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ht="15.75" customHeight="1">
      <c r="A141" s="15" t="s">
        <v>20</v>
      </c>
      <c r="B141" s="15" t="s">
        <v>21</v>
      </c>
      <c r="C141" s="14">
        <v>2340.0</v>
      </c>
      <c r="D141" s="15" t="s">
        <v>11</v>
      </c>
      <c r="E141" s="14">
        <v>6258.7</v>
      </c>
      <c r="F141" s="14">
        <v>0.0</v>
      </c>
      <c r="G141" s="14">
        <v>6258.7</v>
      </c>
      <c r="H141" s="24" t="s">
        <v>11</v>
      </c>
      <c r="I141" s="17">
        <v>8598.7</v>
      </c>
      <c r="J141" s="24" t="s">
        <v>11</v>
      </c>
      <c r="K141" s="17">
        <v>42272.34</v>
      </c>
      <c r="L141" s="13" t="s">
        <v>11</v>
      </c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ht="15.75" customHeight="1">
      <c r="A142" s="25" t="s">
        <v>22</v>
      </c>
      <c r="B142" s="25" t="s">
        <v>23</v>
      </c>
      <c r="C142" s="26">
        <v>3345978.87</v>
      </c>
      <c r="D142" s="25" t="s">
        <v>11</v>
      </c>
      <c r="E142" s="26">
        <v>22216.19</v>
      </c>
      <c r="F142" s="26">
        <v>0.0</v>
      </c>
      <c r="G142" s="26">
        <v>22216.19</v>
      </c>
      <c r="H142" s="27" t="s">
        <v>11</v>
      </c>
      <c r="I142" s="28">
        <v>3368195.06</v>
      </c>
      <c r="J142" s="27" t="s">
        <v>11</v>
      </c>
      <c r="K142" s="28">
        <v>3782377.92</v>
      </c>
      <c r="L142" s="29" t="s">
        <v>11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ht="15.75" customHeight="1">
      <c r="A143" s="29" t="s">
        <v>24</v>
      </c>
      <c r="B143" s="29" t="s">
        <v>25</v>
      </c>
      <c r="C143" s="26">
        <v>85000.0</v>
      </c>
      <c r="D143" s="25" t="s">
        <v>11</v>
      </c>
      <c r="E143" s="26">
        <v>12400.0</v>
      </c>
      <c r="F143" s="26">
        <v>0.0</v>
      </c>
      <c r="G143" s="26">
        <v>12400.0</v>
      </c>
      <c r="H143" s="25" t="s">
        <v>11</v>
      </c>
      <c r="I143" s="26">
        <v>97400.0</v>
      </c>
      <c r="J143" s="29" t="s">
        <v>11</v>
      </c>
      <c r="K143" s="28">
        <v>132000.0</v>
      </c>
      <c r="L143" s="29" t="s">
        <v>11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ht="15.75" customHeight="1">
      <c r="A144" s="29" t="s">
        <v>26</v>
      </c>
      <c r="B144" s="29" t="s">
        <v>27</v>
      </c>
      <c r="C144" s="28">
        <v>98300.0</v>
      </c>
      <c r="D144" s="29" t="s">
        <v>11</v>
      </c>
      <c r="E144" s="28">
        <v>16200.0</v>
      </c>
      <c r="F144" s="30">
        <v>0.0</v>
      </c>
      <c r="G144" s="28">
        <v>16200.0</v>
      </c>
      <c r="H144" s="29" t="s">
        <v>11</v>
      </c>
      <c r="I144" s="28">
        <v>114500.0</v>
      </c>
      <c r="J144" s="29" t="s">
        <v>11</v>
      </c>
      <c r="K144" s="28">
        <v>150700.0</v>
      </c>
      <c r="L144" s="29" t="s">
        <v>11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ht="15.75" customHeight="1">
      <c r="A145" s="29" t="s">
        <v>28</v>
      </c>
      <c r="B145" s="29" t="s">
        <v>29</v>
      </c>
      <c r="C145" s="26">
        <v>4000.39</v>
      </c>
      <c r="D145" s="25" t="s">
        <v>11</v>
      </c>
      <c r="E145" s="26">
        <v>0.0</v>
      </c>
      <c r="F145" s="26">
        <v>0.0</v>
      </c>
      <c r="G145" s="26">
        <v>0.0</v>
      </c>
      <c r="H145" s="25"/>
      <c r="I145" s="26">
        <v>4000.39</v>
      </c>
      <c r="J145" s="29" t="s">
        <v>11</v>
      </c>
      <c r="K145" s="28">
        <v>4000.39</v>
      </c>
      <c r="L145" s="29" t="s">
        <v>11</v>
      </c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ht="15.75" customHeight="1">
      <c r="A146" s="29" t="s">
        <v>30</v>
      </c>
      <c r="B146" s="29" t="s">
        <v>31</v>
      </c>
      <c r="C146" s="26">
        <v>286757.86</v>
      </c>
      <c r="D146" s="25" t="s">
        <v>11</v>
      </c>
      <c r="E146" s="26">
        <v>46598.08</v>
      </c>
      <c r="F146" s="26">
        <v>0.0</v>
      </c>
      <c r="G146" s="26">
        <v>46598.08</v>
      </c>
      <c r="H146" s="25" t="s">
        <v>11</v>
      </c>
      <c r="I146" s="26">
        <v>333355.94</v>
      </c>
      <c r="J146" s="29" t="s">
        <v>11</v>
      </c>
      <c r="K146" s="28">
        <v>379954.02</v>
      </c>
      <c r="L146" s="29" t="s">
        <v>11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ht="15.75" customHeight="1">
      <c r="A147" s="29" t="s">
        <v>32</v>
      </c>
      <c r="B147" s="29" t="s">
        <v>50</v>
      </c>
      <c r="C147" s="30">
        <v>0.0</v>
      </c>
      <c r="D147" s="29"/>
      <c r="E147" s="28">
        <v>2.365524101E7</v>
      </c>
      <c r="F147" s="28">
        <v>2.365453001E7</v>
      </c>
      <c r="G147" s="30">
        <v>711.0</v>
      </c>
      <c r="H147" s="29" t="s">
        <v>11</v>
      </c>
      <c r="I147" s="30">
        <v>711.0</v>
      </c>
      <c r="J147" s="29" t="s">
        <v>11</v>
      </c>
      <c r="K147" s="28">
        <v>179135.64</v>
      </c>
      <c r="L147" s="29" t="s">
        <v>11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ht="15.75" customHeight="1">
      <c r="A148" s="29" t="s">
        <v>34</v>
      </c>
      <c r="B148" s="29" t="s">
        <v>35</v>
      </c>
      <c r="C148" s="26">
        <v>2.989439766E7</v>
      </c>
      <c r="D148" s="25" t="s">
        <v>11</v>
      </c>
      <c r="E148" s="26">
        <v>4984212.63</v>
      </c>
      <c r="F148" s="26">
        <v>0.0</v>
      </c>
      <c r="G148" s="26">
        <v>4984212.63</v>
      </c>
      <c r="H148" s="25" t="s">
        <v>11</v>
      </c>
      <c r="I148" s="26">
        <v>3.487861029E7</v>
      </c>
      <c r="J148" s="29" t="s">
        <v>11</v>
      </c>
      <c r="K148" s="28">
        <v>4.003457873E7</v>
      </c>
      <c r="L148" s="29" t="s">
        <v>11</v>
      </c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ht="15.75" customHeight="1">
      <c r="A149" s="29" t="s">
        <v>36</v>
      </c>
      <c r="B149" s="29" t="s">
        <v>37</v>
      </c>
      <c r="C149" s="26">
        <v>840720.05</v>
      </c>
      <c r="D149" s="25" t="s">
        <v>11</v>
      </c>
      <c r="E149" s="26">
        <v>141389.65</v>
      </c>
      <c r="F149" s="26">
        <v>0.0</v>
      </c>
      <c r="G149" s="26">
        <v>141389.65</v>
      </c>
      <c r="H149" s="25" t="s">
        <v>11</v>
      </c>
      <c r="I149" s="26">
        <v>982109.7</v>
      </c>
      <c r="J149" s="29" t="s">
        <v>11</v>
      </c>
      <c r="K149" s="28">
        <v>1123027.83</v>
      </c>
      <c r="L149" s="29" t="s">
        <v>11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ht="15.75" customHeight="1">
      <c r="A150" s="29" t="s">
        <v>38</v>
      </c>
      <c r="B150" s="29" t="s">
        <v>39</v>
      </c>
      <c r="C150" s="26">
        <v>762605.82</v>
      </c>
      <c r="D150" s="25" t="s">
        <v>40</v>
      </c>
      <c r="E150" s="26">
        <v>0.0</v>
      </c>
      <c r="F150" s="26">
        <v>127100.97</v>
      </c>
      <c r="G150" s="26">
        <v>127100.97</v>
      </c>
      <c r="H150" s="25" t="s">
        <v>40</v>
      </c>
      <c r="I150" s="26">
        <v>889706.79</v>
      </c>
      <c r="J150" s="29" t="s">
        <v>40</v>
      </c>
      <c r="K150" s="28">
        <v>1021515.27</v>
      </c>
      <c r="L150" s="29" t="s">
        <v>40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ht="15.75" customHeight="1">
      <c r="A151" s="29" t="s">
        <v>41</v>
      </c>
      <c r="B151" s="29" t="s">
        <v>42</v>
      </c>
      <c r="C151" s="26">
        <v>3.778701608E7</v>
      </c>
      <c r="D151" s="25" t="s">
        <v>40</v>
      </c>
      <c r="E151" s="26">
        <v>0.0</v>
      </c>
      <c r="F151" s="26">
        <v>6305643.18</v>
      </c>
      <c r="G151" s="26">
        <v>6305643.18</v>
      </c>
      <c r="H151" s="25" t="s">
        <v>40</v>
      </c>
      <c r="I151" s="26">
        <v>4.409265926E7</v>
      </c>
      <c r="J151" s="29" t="s">
        <v>40</v>
      </c>
      <c r="K151" s="28">
        <v>5.042758205E7</v>
      </c>
      <c r="L151" s="29" t="s">
        <v>40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ht="15.75" customHeight="1">
      <c r="A152" s="29" t="s">
        <v>43</v>
      </c>
      <c r="B152" s="29" t="s">
        <v>44</v>
      </c>
      <c r="C152" s="26">
        <v>6913475.77</v>
      </c>
      <c r="D152" s="25" t="s">
        <v>40</v>
      </c>
      <c r="E152" s="26">
        <v>0.0</v>
      </c>
      <c r="F152" s="26">
        <v>1125060.06</v>
      </c>
      <c r="G152" s="26">
        <v>1125060.06</v>
      </c>
      <c r="H152" s="25" t="s">
        <v>40</v>
      </c>
      <c r="I152" s="26">
        <v>8038535.83</v>
      </c>
      <c r="J152" s="29" t="s">
        <v>40</v>
      </c>
      <c r="K152" s="28">
        <v>9163595.89</v>
      </c>
      <c r="L152" s="29" t="s">
        <v>40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ht="15.75" customHeight="1">
      <c r="A153" s="33"/>
      <c r="B153" s="33"/>
      <c r="C153" s="34"/>
      <c r="D153" s="34"/>
      <c r="E153" s="34"/>
      <c r="F153" s="34"/>
      <c r="G153" s="34"/>
      <c r="H153" s="34"/>
      <c r="I153" s="34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ht="15.75" customHeight="1">
      <c r="A154" s="1" t="s">
        <v>0</v>
      </c>
      <c r="B154" s="2" t="s">
        <v>53</v>
      </c>
      <c r="C154" s="3" t="s">
        <v>2</v>
      </c>
      <c r="D154" s="4"/>
      <c r="E154" s="5"/>
      <c r="F154" s="6"/>
      <c r="G154" s="7"/>
      <c r="H154" s="8"/>
      <c r="I154" s="6"/>
      <c r="J154" s="9"/>
      <c r="K154" s="10"/>
      <c r="L154" s="11"/>
    </row>
    <row r="155" ht="15.75" customHeight="1">
      <c r="A155" s="36"/>
      <c r="B155" s="37"/>
      <c r="C155" s="38"/>
      <c r="D155" s="39"/>
      <c r="E155" s="5"/>
      <c r="F155" s="6"/>
      <c r="G155" s="7"/>
      <c r="H155" s="8"/>
      <c r="I155" s="6"/>
      <c r="J155" s="9"/>
      <c r="K155" s="10"/>
      <c r="L155" s="11"/>
    </row>
    <row r="156" ht="15.75" customHeight="1">
      <c r="A156" s="13" t="s">
        <v>9</v>
      </c>
      <c r="B156" s="13" t="s">
        <v>10</v>
      </c>
      <c r="C156" s="14">
        <v>1.2228390586E8</v>
      </c>
      <c r="D156" s="15" t="s">
        <v>11</v>
      </c>
      <c r="E156" s="14">
        <v>1.804490103E7</v>
      </c>
      <c r="F156" s="14">
        <v>646039.62</v>
      </c>
      <c r="G156" s="14">
        <v>1.739886141E7</v>
      </c>
      <c r="H156" s="15" t="s">
        <v>11</v>
      </c>
      <c r="I156" s="14">
        <v>1.3968276727E8</v>
      </c>
      <c r="J156" s="13" t="s">
        <v>11</v>
      </c>
      <c r="K156" s="17">
        <v>1.5800397801E8</v>
      </c>
      <c r="L156" s="13" t="s">
        <v>11</v>
      </c>
    </row>
    <row r="157" ht="15.75" customHeight="1">
      <c r="A157" s="21" t="s">
        <v>12</v>
      </c>
      <c r="B157" s="21" t="s">
        <v>13</v>
      </c>
      <c r="C157" s="20">
        <v>1833858.64</v>
      </c>
      <c r="D157" s="21" t="s">
        <v>11</v>
      </c>
      <c r="E157" s="20">
        <v>290965.74</v>
      </c>
      <c r="F157" s="20">
        <v>0.0</v>
      </c>
      <c r="G157" s="20">
        <v>290965.74</v>
      </c>
      <c r="H157" s="21" t="s">
        <v>11</v>
      </c>
      <c r="I157" s="20">
        <v>2124824.38</v>
      </c>
      <c r="J157" s="21" t="s">
        <v>11</v>
      </c>
      <c r="K157" s="20">
        <v>2420854.7</v>
      </c>
      <c r="L157" s="22" t="s">
        <v>11</v>
      </c>
    </row>
    <row r="158" ht="15.75" customHeight="1">
      <c r="A158" s="15" t="s">
        <v>14</v>
      </c>
      <c r="B158" s="15" t="s">
        <v>15</v>
      </c>
      <c r="C158" s="14">
        <v>4658915.93</v>
      </c>
      <c r="D158" s="15" t="s">
        <v>11</v>
      </c>
      <c r="E158" s="14">
        <v>667624.79</v>
      </c>
      <c r="F158" s="14">
        <v>0.0</v>
      </c>
      <c r="G158" s="17">
        <v>667624.79</v>
      </c>
      <c r="H158" s="24" t="s">
        <v>11</v>
      </c>
      <c r="I158" s="17">
        <v>5326540.72</v>
      </c>
      <c r="J158" s="24" t="s">
        <v>11</v>
      </c>
      <c r="K158" s="17">
        <v>5978101.48</v>
      </c>
      <c r="L158" s="13" t="s">
        <v>11</v>
      </c>
    </row>
    <row r="159" ht="15.75" customHeight="1">
      <c r="A159" s="19" t="s">
        <v>18</v>
      </c>
      <c r="B159" s="19" t="s">
        <v>19</v>
      </c>
      <c r="C159" s="5">
        <v>3705625.06</v>
      </c>
      <c r="D159" s="19" t="s">
        <v>11</v>
      </c>
      <c r="E159" s="5">
        <v>528131.59</v>
      </c>
      <c r="F159" s="5">
        <v>0.0</v>
      </c>
      <c r="G159" s="20">
        <v>528131.59</v>
      </c>
      <c r="H159" s="21" t="s">
        <v>11</v>
      </c>
      <c r="I159" s="20">
        <v>4233756.65</v>
      </c>
      <c r="J159" s="21" t="s">
        <v>11</v>
      </c>
      <c r="K159" s="20">
        <v>4768564.59</v>
      </c>
      <c r="L159" s="22" t="s">
        <v>11</v>
      </c>
    </row>
    <row r="160" ht="15.75" customHeight="1">
      <c r="A160" s="15" t="s">
        <v>20</v>
      </c>
      <c r="B160" s="15" t="s">
        <v>21</v>
      </c>
      <c r="C160" s="14">
        <v>8598.7</v>
      </c>
      <c r="D160" s="15" t="s">
        <v>11</v>
      </c>
      <c r="E160" s="14">
        <v>28252.04</v>
      </c>
      <c r="F160" s="14">
        <v>0.0</v>
      </c>
      <c r="G160" s="17">
        <v>28252.04</v>
      </c>
      <c r="H160" s="24" t="s">
        <v>11</v>
      </c>
      <c r="I160" s="17">
        <v>36850.74</v>
      </c>
      <c r="J160" s="24" t="s">
        <v>11</v>
      </c>
      <c r="K160" s="17">
        <v>42272.34</v>
      </c>
      <c r="L160" s="13" t="s">
        <v>11</v>
      </c>
    </row>
    <row r="161" ht="15.75" customHeight="1">
      <c r="A161" s="19" t="s">
        <v>22</v>
      </c>
      <c r="B161" s="19" t="s">
        <v>23</v>
      </c>
      <c r="C161" s="5">
        <v>3368195.06</v>
      </c>
      <c r="D161" s="19" t="s">
        <v>11</v>
      </c>
      <c r="E161" s="5">
        <v>107038.82</v>
      </c>
      <c r="F161" s="5">
        <v>0.0</v>
      </c>
      <c r="G161" s="20">
        <v>107038.82</v>
      </c>
      <c r="H161" s="21" t="s">
        <v>11</v>
      </c>
      <c r="I161" s="20">
        <v>3475233.88</v>
      </c>
      <c r="J161" s="21" t="s">
        <v>11</v>
      </c>
      <c r="K161" s="20">
        <v>3782377.92</v>
      </c>
      <c r="L161" s="22" t="s">
        <v>11</v>
      </c>
    </row>
    <row r="162" ht="15.75" customHeight="1">
      <c r="A162" s="29" t="s">
        <v>24</v>
      </c>
      <c r="B162" s="29" t="s">
        <v>25</v>
      </c>
      <c r="C162" s="26">
        <v>97400.0</v>
      </c>
      <c r="D162" s="25" t="s">
        <v>11</v>
      </c>
      <c r="E162" s="26">
        <v>17000.0</v>
      </c>
      <c r="F162" s="26">
        <v>0.0</v>
      </c>
      <c r="G162" s="26">
        <v>17000.0</v>
      </c>
      <c r="H162" s="25" t="s">
        <v>11</v>
      </c>
      <c r="I162" s="26">
        <v>114400.0</v>
      </c>
      <c r="J162" s="29" t="s">
        <v>11</v>
      </c>
      <c r="K162" s="28">
        <v>132000.0</v>
      </c>
      <c r="L162" s="29" t="s">
        <v>11</v>
      </c>
    </row>
    <row r="163" ht="15.75" customHeight="1">
      <c r="A163" s="29" t="s">
        <v>26</v>
      </c>
      <c r="B163" s="29" t="s">
        <v>27</v>
      </c>
      <c r="C163" s="28">
        <v>114500.0</v>
      </c>
      <c r="D163" s="29" t="s">
        <v>11</v>
      </c>
      <c r="E163" s="28">
        <v>20400.0</v>
      </c>
      <c r="F163" s="28">
        <v>2400.0</v>
      </c>
      <c r="G163" s="28">
        <v>18000.0</v>
      </c>
      <c r="H163" s="29" t="s">
        <v>11</v>
      </c>
      <c r="I163" s="28">
        <v>132500.0</v>
      </c>
      <c r="J163" s="29" t="s">
        <v>11</v>
      </c>
      <c r="K163" s="28">
        <v>150700.0</v>
      </c>
      <c r="L163" s="29" t="s">
        <v>11</v>
      </c>
    </row>
    <row r="164" ht="15.75" customHeight="1">
      <c r="A164" s="29" t="s">
        <v>28</v>
      </c>
      <c r="B164" s="29" t="s">
        <v>29</v>
      </c>
      <c r="C164" s="26">
        <v>4000.39</v>
      </c>
      <c r="D164" s="25" t="s">
        <v>11</v>
      </c>
      <c r="E164" s="26">
        <v>0.0</v>
      </c>
      <c r="F164" s="26">
        <v>0.0</v>
      </c>
      <c r="G164" s="26">
        <v>0.0</v>
      </c>
      <c r="H164" s="25"/>
      <c r="I164" s="26">
        <v>4000.39</v>
      </c>
      <c r="J164" s="29" t="s">
        <v>11</v>
      </c>
      <c r="K164" s="28">
        <v>4000.39</v>
      </c>
      <c r="L164" s="29" t="s">
        <v>11</v>
      </c>
    </row>
    <row r="165" ht="15.75" customHeight="1">
      <c r="A165" s="29" t="s">
        <v>30</v>
      </c>
      <c r="B165" s="29" t="s">
        <v>31</v>
      </c>
      <c r="C165" s="26">
        <v>333355.94</v>
      </c>
      <c r="D165" s="25" t="s">
        <v>11</v>
      </c>
      <c r="E165" s="26">
        <v>56872.9</v>
      </c>
      <c r="F165" s="26">
        <v>10274.82</v>
      </c>
      <c r="G165" s="26">
        <v>46598.08</v>
      </c>
      <c r="H165" s="25" t="s">
        <v>11</v>
      </c>
      <c r="I165" s="26">
        <v>379954.02</v>
      </c>
      <c r="J165" s="29" t="s">
        <v>11</v>
      </c>
      <c r="K165" s="28">
        <v>379954.02</v>
      </c>
      <c r="L165" s="29" t="s">
        <v>11</v>
      </c>
    </row>
    <row r="166" ht="15.75" customHeight="1">
      <c r="A166" s="29" t="s">
        <v>32</v>
      </c>
      <c r="B166" s="29" t="s">
        <v>50</v>
      </c>
      <c r="C166" s="30">
        <v>711.0</v>
      </c>
      <c r="D166" s="29" t="s">
        <v>11</v>
      </c>
      <c r="E166" s="28">
        <v>2.380063694E7</v>
      </c>
      <c r="F166" s="28">
        <v>2.380134794E7</v>
      </c>
      <c r="G166" s="30">
        <v>711.0</v>
      </c>
      <c r="H166" s="29" t="s">
        <v>40</v>
      </c>
      <c r="I166" s="30">
        <v>0.0</v>
      </c>
      <c r="J166" s="29"/>
      <c r="K166" s="28">
        <v>179135.64</v>
      </c>
      <c r="L166" s="29" t="s">
        <v>11</v>
      </c>
    </row>
    <row r="167" ht="15.75" customHeight="1">
      <c r="A167" s="29" t="s">
        <v>34</v>
      </c>
      <c r="B167" s="29" t="s">
        <v>35</v>
      </c>
      <c r="C167" s="26">
        <v>3.487861029E7</v>
      </c>
      <c r="D167" s="25" t="s">
        <v>11</v>
      </c>
      <c r="E167" s="26">
        <v>5156206.29</v>
      </c>
      <c r="F167" s="26">
        <v>237.85</v>
      </c>
      <c r="G167" s="26">
        <v>5155968.44</v>
      </c>
      <c r="H167" s="25" t="s">
        <v>11</v>
      </c>
      <c r="I167" s="26">
        <v>4.003457873E7</v>
      </c>
      <c r="J167" s="29" t="s">
        <v>11</v>
      </c>
      <c r="K167" s="28">
        <v>4.003457873E7</v>
      </c>
      <c r="L167" s="29" t="s">
        <v>11</v>
      </c>
    </row>
    <row r="168" ht="15.75" customHeight="1">
      <c r="A168" s="29" t="s">
        <v>36</v>
      </c>
      <c r="B168" s="29" t="s">
        <v>37</v>
      </c>
      <c r="C168" s="26">
        <v>982109.7</v>
      </c>
      <c r="D168" s="25" t="s">
        <v>11</v>
      </c>
      <c r="E168" s="26">
        <v>140918.13</v>
      </c>
      <c r="F168" s="26">
        <v>0.0</v>
      </c>
      <c r="G168" s="26">
        <v>140918.13</v>
      </c>
      <c r="H168" s="25" t="s">
        <v>11</v>
      </c>
      <c r="I168" s="26">
        <v>1123027.83</v>
      </c>
      <c r="J168" s="29" t="s">
        <v>11</v>
      </c>
      <c r="K168" s="28">
        <v>1123027.83</v>
      </c>
      <c r="L168" s="29" t="s">
        <v>11</v>
      </c>
    </row>
    <row r="169" ht="15.75" customHeight="1">
      <c r="A169" s="29" t="s">
        <v>38</v>
      </c>
      <c r="B169" s="29" t="s">
        <v>39</v>
      </c>
      <c r="C169" s="26">
        <v>889706.79</v>
      </c>
      <c r="D169" s="25" t="s">
        <v>40</v>
      </c>
      <c r="E169" s="26">
        <v>0.0</v>
      </c>
      <c r="F169" s="26">
        <v>131808.48</v>
      </c>
      <c r="G169" s="26">
        <v>131808.48</v>
      </c>
      <c r="H169" s="25" t="s">
        <v>40</v>
      </c>
      <c r="I169" s="26">
        <v>1021515.27</v>
      </c>
      <c r="J169" s="29" t="s">
        <v>40</v>
      </c>
      <c r="K169" s="28">
        <v>1021515.27</v>
      </c>
      <c r="L169" s="29" t="s">
        <v>40</v>
      </c>
    </row>
    <row r="170" ht="15.75" customHeight="1">
      <c r="A170" s="29" t="s">
        <v>41</v>
      </c>
      <c r="B170" s="29" t="s">
        <v>42</v>
      </c>
      <c r="C170" s="26">
        <v>4.409265926E7</v>
      </c>
      <c r="D170" s="25" t="s">
        <v>40</v>
      </c>
      <c r="E170" s="26">
        <v>0.0</v>
      </c>
      <c r="F170" s="26">
        <v>6334922.79</v>
      </c>
      <c r="G170" s="26">
        <v>6334922.79</v>
      </c>
      <c r="H170" s="25" t="s">
        <v>40</v>
      </c>
      <c r="I170" s="26">
        <v>5.042758205E7</v>
      </c>
      <c r="J170" s="29" t="s">
        <v>40</v>
      </c>
      <c r="K170" s="28">
        <v>5.042758205E7</v>
      </c>
      <c r="L170" s="29" t="s">
        <v>40</v>
      </c>
    </row>
    <row r="171" ht="15.75" customHeight="1">
      <c r="A171" s="29" t="s">
        <v>43</v>
      </c>
      <c r="B171" s="29" t="s">
        <v>44</v>
      </c>
      <c r="C171" s="26">
        <v>8038535.83</v>
      </c>
      <c r="D171" s="25" t="s">
        <v>40</v>
      </c>
      <c r="E171" s="26">
        <v>0.0</v>
      </c>
      <c r="F171" s="26">
        <v>1125060.06</v>
      </c>
      <c r="G171" s="26">
        <v>1125060.06</v>
      </c>
      <c r="H171" s="25" t="s">
        <v>40</v>
      </c>
      <c r="I171" s="26">
        <v>9163595.89</v>
      </c>
      <c r="J171" s="29" t="s">
        <v>40</v>
      </c>
      <c r="K171" s="28">
        <v>9163595.89</v>
      </c>
      <c r="L171" s="29" t="s">
        <v>40</v>
      </c>
    </row>
    <row r="172" ht="15.75" customHeight="1">
      <c r="C172" s="35"/>
      <c r="D172" s="35"/>
      <c r="E172" s="35"/>
      <c r="F172" s="35"/>
      <c r="G172" s="35"/>
      <c r="H172" s="35"/>
      <c r="I172" s="35"/>
    </row>
    <row r="173" ht="15.75" customHeight="1">
      <c r="C173" s="35"/>
      <c r="D173" s="35"/>
      <c r="E173" s="35"/>
      <c r="F173" s="35"/>
      <c r="G173" s="35"/>
      <c r="H173" s="35"/>
      <c r="I173" s="35"/>
    </row>
    <row r="174" ht="15.75" customHeight="1">
      <c r="C174" s="35"/>
      <c r="D174" s="35"/>
      <c r="E174" s="35"/>
      <c r="F174" s="35"/>
      <c r="G174" s="35"/>
      <c r="H174" s="35"/>
      <c r="I174" s="35"/>
    </row>
    <row r="175" ht="15.75" customHeight="1">
      <c r="C175" s="35"/>
      <c r="D175" s="35"/>
      <c r="E175" s="35"/>
      <c r="F175" s="35"/>
      <c r="G175" s="35"/>
      <c r="H175" s="35"/>
      <c r="I175" s="35"/>
    </row>
    <row r="176" ht="15.75" customHeight="1">
      <c r="C176" s="35"/>
      <c r="D176" s="35"/>
      <c r="E176" s="35"/>
      <c r="F176" s="35"/>
      <c r="G176" s="35"/>
      <c r="H176" s="35"/>
      <c r="I176" s="35"/>
    </row>
    <row r="177" ht="15.75" customHeight="1">
      <c r="C177" s="35"/>
      <c r="D177" s="35"/>
      <c r="E177" s="35"/>
      <c r="F177" s="35"/>
      <c r="G177" s="35"/>
      <c r="H177" s="35"/>
      <c r="I177" s="35"/>
    </row>
    <row r="178" ht="15.75" customHeight="1">
      <c r="C178" s="35"/>
      <c r="D178" s="35"/>
      <c r="E178" s="35"/>
      <c r="F178" s="35"/>
      <c r="G178" s="35"/>
      <c r="H178" s="35"/>
      <c r="I178" s="35"/>
    </row>
    <row r="179" ht="15.75" customHeight="1">
      <c r="C179" s="35"/>
      <c r="D179" s="35"/>
      <c r="E179" s="35"/>
      <c r="F179" s="35"/>
      <c r="G179" s="35"/>
      <c r="H179" s="35"/>
      <c r="I179" s="35"/>
    </row>
    <row r="180" ht="15.75" customHeight="1">
      <c r="C180" s="35"/>
      <c r="D180" s="35"/>
      <c r="E180" s="35"/>
      <c r="F180" s="35"/>
      <c r="G180" s="35"/>
      <c r="H180" s="35"/>
      <c r="I180" s="35"/>
    </row>
    <row r="181" ht="15.75" customHeight="1">
      <c r="C181" s="35"/>
      <c r="D181" s="35"/>
      <c r="E181" s="35"/>
      <c r="F181" s="35"/>
      <c r="G181" s="35"/>
      <c r="H181" s="35"/>
      <c r="I181" s="35"/>
    </row>
    <row r="182" ht="15.75" customHeight="1">
      <c r="C182" s="35"/>
      <c r="D182" s="35"/>
      <c r="E182" s="35"/>
      <c r="F182" s="35"/>
      <c r="G182" s="35"/>
      <c r="H182" s="35"/>
      <c r="I182" s="35"/>
    </row>
    <row r="183" ht="15.75" customHeight="1">
      <c r="C183" s="35"/>
      <c r="D183" s="35"/>
      <c r="E183" s="35"/>
      <c r="F183" s="35"/>
      <c r="G183" s="35"/>
      <c r="H183" s="35"/>
      <c r="I183" s="35"/>
    </row>
    <row r="184" ht="15.75" customHeight="1">
      <c r="C184" s="35"/>
      <c r="D184" s="35"/>
      <c r="E184" s="35"/>
      <c r="F184" s="35"/>
      <c r="G184" s="35"/>
      <c r="H184" s="35"/>
      <c r="I184" s="35"/>
    </row>
    <row r="185" ht="15.75" customHeight="1">
      <c r="C185" s="35"/>
      <c r="D185" s="35"/>
      <c r="E185" s="35"/>
      <c r="F185" s="35"/>
      <c r="G185" s="35"/>
      <c r="H185" s="35"/>
      <c r="I185" s="35"/>
    </row>
    <row r="186" ht="15.75" customHeight="1">
      <c r="C186" s="35"/>
      <c r="D186" s="35"/>
      <c r="E186" s="35"/>
      <c r="F186" s="35"/>
      <c r="G186" s="35"/>
      <c r="H186" s="35"/>
      <c r="I186" s="35"/>
    </row>
    <row r="187" ht="15.75" customHeight="1">
      <c r="C187" s="35"/>
      <c r="D187" s="35"/>
      <c r="E187" s="35"/>
      <c r="F187" s="35"/>
      <c r="G187" s="35"/>
      <c r="H187" s="35"/>
      <c r="I187" s="35"/>
    </row>
    <row r="188" ht="15.75" customHeight="1">
      <c r="C188" s="35"/>
      <c r="D188" s="35"/>
      <c r="E188" s="35"/>
      <c r="F188" s="35"/>
      <c r="G188" s="35"/>
      <c r="H188" s="35"/>
      <c r="I188" s="35"/>
    </row>
    <row r="189" ht="15.75" customHeight="1">
      <c r="C189" s="35"/>
      <c r="D189" s="35"/>
      <c r="E189" s="35"/>
      <c r="F189" s="35"/>
      <c r="G189" s="35"/>
      <c r="H189" s="35"/>
      <c r="I189" s="35"/>
    </row>
    <row r="190" ht="15.75" customHeight="1">
      <c r="C190" s="35"/>
      <c r="D190" s="35"/>
      <c r="E190" s="35"/>
      <c r="F190" s="35"/>
      <c r="G190" s="35"/>
      <c r="H190" s="35"/>
      <c r="I190" s="35"/>
    </row>
    <row r="191" ht="15.75" customHeight="1">
      <c r="C191" s="35"/>
      <c r="D191" s="35"/>
      <c r="E191" s="35"/>
      <c r="F191" s="35"/>
      <c r="G191" s="35"/>
      <c r="H191" s="35"/>
      <c r="I191" s="35"/>
    </row>
    <row r="192" ht="15.75" customHeight="1">
      <c r="C192" s="35"/>
      <c r="D192" s="35"/>
      <c r="E192" s="35"/>
      <c r="F192" s="35"/>
      <c r="G192" s="35"/>
      <c r="H192" s="35"/>
      <c r="I192" s="35"/>
    </row>
    <row r="193" ht="15.75" customHeight="1">
      <c r="C193" s="35"/>
      <c r="D193" s="35"/>
      <c r="E193" s="35"/>
      <c r="F193" s="35"/>
      <c r="G193" s="35"/>
      <c r="H193" s="35"/>
      <c r="I193" s="35"/>
    </row>
    <row r="194" ht="15.75" customHeight="1">
      <c r="C194" s="35"/>
      <c r="D194" s="35"/>
      <c r="E194" s="35"/>
      <c r="F194" s="35"/>
      <c r="G194" s="35"/>
      <c r="H194" s="35"/>
      <c r="I194" s="35"/>
    </row>
    <row r="195" ht="15.75" customHeight="1">
      <c r="C195" s="35"/>
      <c r="D195" s="35"/>
      <c r="E195" s="35"/>
      <c r="F195" s="35"/>
      <c r="G195" s="35"/>
      <c r="H195" s="35"/>
      <c r="I195" s="35"/>
    </row>
    <row r="196" ht="15.75" customHeight="1">
      <c r="C196" s="35"/>
      <c r="D196" s="35"/>
      <c r="E196" s="35"/>
      <c r="F196" s="35"/>
      <c r="G196" s="35"/>
      <c r="H196" s="35"/>
      <c r="I196" s="35"/>
    </row>
    <row r="197" ht="15.75" customHeight="1">
      <c r="C197" s="35"/>
      <c r="D197" s="35"/>
      <c r="E197" s="35"/>
      <c r="F197" s="35"/>
      <c r="G197" s="35"/>
      <c r="H197" s="35"/>
      <c r="I197" s="35"/>
    </row>
    <row r="198" ht="15.75" customHeight="1">
      <c r="C198" s="35"/>
      <c r="D198" s="35"/>
      <c r="E198" s="35"/>
      <c r="F198" s="35"/>
      <c r="G198" s="35"/>
      <c r="H198" s="35"/>
      <c r="I198" s="35"/>
    </row>
    <row r="199" ht="15.75" customHeight="1">
      <c r="C199" s="35"/>
      <c r="D199" s="35"/>
      <c r="E199" s="35"/>
      <c r="F199" s="35"/>
      <c r="G199" s="35"/>
      <c r="H199" s="35"/>
      <c r="I199" s="35"/>
    </row>
    <row r="200" ht="15.75" customHeight="1">
      <c r="C200" s="35"/>
      <c r="D200" s="35"/>
      <c r="E200" s="35"/>
      <c r="F200" s="35"/>
      <c r="G200" s="35"/>
      <c r="H200" s="35"/>
      <c r="I200" s="35"/>
    </row>
    <row r="201" ht="15.75" customHeight="1">
      <c r="C201" s="35"/>
      <c r="D201" s="35"/>
      <c r="E201" s="35"/>
      <c r="F201" s="35"/>
      <c r="G201" s="35"/>
      <c r="H201" s="35"/>
      <c r="I201" s="35"/>
    </row>
    <row r="202" ht="15.75" customHeight="1">
      <c r="C202" s="35"/>
      <c r="D202" s="35"/>
      <c r="E202" s="35"/>
      <c r="F202" s="35"/>
      <c r="G202" s="35"/>
      <c r="H202" s="35"/>
      <c r="I202" s="35"/>
    </row>
    <row r="203" ht="15.75" customHeight="1">
      <c r="C203" s="35"/>
      <c r="D203" s="35"/>
      <c r="E203" s="35"/>
      <c r="F203" s="35"/>
      <c r="G203" s="35"/>
      <c r="H203" s="35"/>
      <c r="I203" s="35"/>
    </row>
    <row r="204" ht="15.75" customHeight="1">
      <c r="C204" s="35"/>
      <c r="D204" s="35"/>
      <c r="E204" s="35"/>
      <c r="F204" s="35"/>
      <c r="G204" s="35"/>
      <c r="H204" s="35"/>
      <c r="I204" s="35"/>
    </row>
    <row r="205" ht="15.75" customHeight="1">
      <c r="C205" s="35"/>
      <c r="D205" s="35"/>
      <c r="E205" s="35"/>
      <c r="F205" s="35"/>
      <c r="G205" s="35"/>
      <c r="H205" s="35"/>
      <c r="I205" s="35"/>
    </row>
    <row r="206" ht="15.75" customHeight="1">
      <c r="C206" s="35"/>
      <c r="D206" s="35"/>
      <c r="E206" s="35"/>
      <c r="F206" s="35"/>
      <c r="G206" s="35"/>
      <c r="H206" s="35"/>
      <c r="I206" s="35"/>
    </row>
    <row r="207" ht="15.75" customHeight="1">
      <c r="C207" s="35"/>
      <c r="D207" s="35"/>
      <c r="E207" s="35"/>
      <c r="F207" s="35"/>
      <c r="G207" s="35"/>
      <c r="H207" s="35"/>
      <c r="I207" s="35"/>
    </row>
    <row r="208" ht="15.75" customHeight="1">
      <c r="C208" s="35"/>
      <c r="D208" s="35"/>
      <c r="E208" s="35"/>
      <c r="F208" s="35"/>
      <c r="G208" s="35"/>
      <c r="H208" s="35"/>
      <c r="I208" s="35"/>
    </row>
    <row r="209" ht="15.75" customHeight="1">
      <c r="C209" s="35"/>
      <c r="D209" s="35"/>
      <c r="E209" s="35"/>
      <c r="F209" s="35"/>
      <c r="G209" s="35"/>
      <c r="H209" s="35"/>
      <c r="I209" s="35"/>
    </row>
    <row r="210" ht="15.75" customHeight="1">
      <c r="C210" s="35"/>
      <c r="D210" s="35"/>
      <c r="E210" s="35"/>
      <c r="F210" s="35"/>
      <c r="G210" s="35"/>
      <c r="H210" s="35"/>
      <c r="I210" s="35"/>
    </row>
    <row r="211" ht="15.75" customHeight="1">
      <c r="C211" s="35"/>
      <c r="D211" s="35"/>
      <c r="E211" s="35"/>
      <c r="F211" s="35"/>
      <c r="G211" s="35"/>
      <c r="H211" s="35"/>
      <c r="I211" s="35"/>
    </row>
    <row r="212" ht="15.75" customHeight="1">
      <c r="C212" s="35"/>
      <c r="D212" s="35"/>
      <c r="E212" s="35"/>
      <c r="F212" s="35"/>
      <c r="G212" s="35"/>
      <c r="H212" s="35"/>
      <c r="I212" s="35"/>
    </row>
    <row r="213" ht="15.75" customHeight="1">
      <c r="C213" s="35"/>
      <c r="D213" s="35"/>
      <c r="E213" s="35"/>
      <c r="F213" s="35"/>
      <c r="G213" s="35"/>
      <c r="H213" s="35"/>
      <c r="I213" s="35"/>
    </row>
    <row r="214" ht="15.75" customHeight="1">
      <c r="C214" s="35"/>
      <c r="D214" s="35"/>
      <c r="E214" s="35"/>
      <c r="F214" s="35"/>
      <c r="G214" s="35"/>
      <c r="H214" s="35"/>
      <c r="I214" s="35"/>
    </row>
    <row r="215" ht="15.75" customHeight="1">
      <c r="C215" s="35"/>
      <c r="D215" s="35"/>
      <c r="E215" s="35"/>
      <c r="F215" s="35"/>
      <c r="G215" s="35"/>
      <c r="H215" s="35"/>
      <c r="I215" s="35"/>
    </row>
    <row r="216" ht="15.75" customHeight="1">
      <c r="C216" s="35"/>
      <c r="D216" s="35"/>
      <c r="E216" s="35"/>
      <c r="F216" s="35"/>
      <c r="G216" s="35"/>
      <c r="H216" s="35"/>
      <c r="I216" s="35"/>
    </row>
    <row r="217" ht="15.75" customHeight="1">
      <c r="C217" s="35"/>
      <c r="D217" s="35"/>
      <c r="E217" s="35"/>
      <c r="F217" s="35"/>
      <c r="G217" s="35"/>
      <c r="H217" s="35"/>
      <c r="I217" s="35"/>
    </row>
    <row r="218" ht="15.75" customHeight="1">
      <c r="C218" s="35"/>
      <c r="D218" s="35"/>
      <c r="E218" s="35"/>
      <c r="F218" s="35"/>
      <c r="G218" s="35"/>
      <c r="H218" s="35"/>
      <c r="I218" s="35"/>
    </row>
    <row r="219" ht="15.75" customHeight="1">
      <c r="C219" s="35"/>
      <c r="D219" s="35"/>
      <c r="E219" s="35"/>
      <c r="F219" s="35"/>
      <c r="G219" s="35"/>
      <c r="H219" s="35"/>
      <c r="I219" s="35"/>
    </row>
    <row r="220" ht="15.75" customHeight="1">
      <c r="C220" s="35"/>
      <c r="D220" s="35"/>
      <c r="E220" s="35"/>
      <c r="F220" s="35"/>
      <c r="G220" s="35"/>
      <c r="H220" s="35"/>
      <c r="I220" s="35"/>
    </row>
    <row r="221" ht="15.75" customHeight="1">
      <c r="C221" s="35"/>
      <c r="D221" s="35"/>
      <c r="E221" s="35"/>
      <c r="F221" s="35"/>
      <c r="G221" s="35"/>
      <c r="H221" s="35"/>
      <c r="I221" s="35"/>
    </row>
    <row r="222" ht="15.75" customHeight="1">
      <c r="C222" s="35"/>
      <c r="D222" s="35"/>
      <c r="E222" s="35"/>
      <c r="F222" s="35"/>
      <c r="G222" s="35"/>
      <c r="H222" s="35"/>
      <c r="I222" s="35"/>
    </row>
    <row r="223" ht="15.75" customHeight="1">
      <c r="C223" s="35"/>
      <c r="D223" s="35"/>
      <c r="E223" s="35"/>
      <c r="F223" s="35"/>
      <c r="G223" s="35"/>
      <c r="H223" s="35"/>
      <c r="I223" s="35"/>
    </row>
    <row r="224" ht="15.75" customHeight="1">
      <c r="C224" s="35"/>
      <c r="D224" s="35"/>
      <c r="E224" s="35"/>
      <c r="F224" s="35"/>
      <c r="G224" s="35"/>
      <c r="H224" s="35"/>
      <c r="I224" s="35"/>
    </row>
    <row r="225" ht="15.75" customHeight="1">
      <c r="C225" s="35"/>
      <c r="D225" s="35"/>
      <c r="E225" s="35"/>
      <c r="F225" s="35"/>
      <c r="G225" s="35"/>
      <c r="H225" s="35"/>
      <c r="I225" s="35"/>
    </row>
    <row r="226" ht="15.75" customHeight="1">
      <c r="C226" s="35"/>
      <c r="D226" s="35"/>
      <c r="E226" s="35"/>
      <c r="F226" s="35"/>
      <c r="G226" s="35"/>
      <c r="H226" s="35"/>
      <c r="I226" s="35"/>
    </row>
    <row r="227" ht="15.75" customHeight="1">
      <c r="C227" s="35"/>
      <c r="D227" s="35"/>
      <c r="E227" s="35"/>
      <c r="F227" s="35"/>
      <c r="G227" s="35"/>
      <c r="H227" s="35"/>
      <c r="I227" s="35"/>
    </row>
    <row r="228" ht="15.75" customHeight="1">
      <c r="C228" s="35"/>
      <c r="D228" s="35"/>
      <c r="E228" s="35"/>
      <c r="F228" s="35"/>
      <c r="G228" s="35"/>
      <c r="H228" s="35"/>
      <c r="I228" s="35"/>
    </row>
    <row r="229" ht="15.75" customHeight="1">
      <c r="C229" s="35"/>
      <c r="D229" s="35"/>
      <c r="E229" s="35"/>
      <c r="F229" s="35"/>
      <c r="G229" s="35"/>
      <c r="H229" s="35"/>
      <c r="I229" s="35"/>
    </row>
    <row r="230" ht="15.75" customHeight="1">
      <c r="C230" s="35"/>
      <c r="D230" s="35"/>
      <c r="E230" s="35"/>
      <c r="F230" s="35"/>
      <c r="G230" s="35"/>
      <c r="H230" s="35"/>
      <c r="I230" s="35"/>
    </row>
    <row r="231" ht="15.75" customHeight="1">
      <c r="C231" s="35"/>
      <c r="D231" s="35"/>
      <c r="E231" s="35"/>
      <c r="F231" s="35"/>
      <c r="G231" s="35"/>
      <c r="H231" s="35"/>
      <c r="I231" s="35"/>
    </row>
    <row r="232" ht="15.75" customHeight="1">
      <c r="C232" s="35"/>
      <c r="D232" s="35"/>
      <c r="E232" s="35"/>
      <c r="F232" s="35"/>
      <c r="G232" s="35"/>
      <c r="H232" s="35"/>
      <c r="I232" s="35"/>
    </row>
    <row r="233" ht="15.75" customHeight="1">
      <c r="C233" s="35"/>
      <c r="D233" s="35"/>
      <c r="E233" s="35"/>
      <c r="F233" s="35"/>
      <c r="G233" s="35"/>
      <c r="H233" s="35"/>
      <c r="I233" s="35"/>
    </row>
    <row r="234" ht="15.75" customHeight="1">
      <c r="C234" s="35"/>
      <c r="D234" s="35"/>
      <c r="E234" s="35"/>
      <c r="F234" s="35"/>
      <c r="G234" s="35"/>
      <c r="H234" s="35"/>
      <c r="I234" s="35"/>
    </row>
    <row r="235" ht="15.75" customHeight="1">
      <c r="C235" s="35"/>
      <c r="D235" s="35"/>
      <c r="E235" s="35"/>
      <c r="F235" s="35"/>
      <c r="G235" s="35"/>
      <c r="H235" s="35"/>
      <c r="I235" s="35"/>
    </row>
    <row r="236" ht="15.75" customHeight="1">
      <c r="C236" s="35"/>
      <c r="D236" s="35"/>
      <c r="E236" s="35"/>
      <c r="F236" s="35"/>
      <c r="G236" s="35"/>
      <c r="H236" s="35"/>
      <c r="I236" s="35"/>
    </row>
    <row r="237" ht="15.75" customHeight="1">
      <c r="C237" s="35"/>
      <c r="D237" s="35"/>
      <c r="E237" s="35"/>
      <c r="F237" s="35"/>
      <c r="G237" s="35"/>
      <c r="H237" s="35"/>
      <c r="I237" s="35"/>
    </row>
    <row r="238" ht="15.75" customHeight="1">
      <c r="C238" s="35"/>
      <c r="D238" s="35"/>
      <c r="E238" s="35"/>
      <c r="F238" s="35"/>
      <c r="G238" s="35"/>
      <c r="H238" s="35"/>
      <c r="I238" s="35"/>
    </row>
    <row r="239" ht="15.75" customHeight="1">
      <c r="C239" s="35"/>
      <c r="D239" s="35"/>
      <c r="E239" s="35"/>
      <c r="F239" s="35"/>
      <c r="G239" s="35"/>
      <c r="H239" s="35"/>
      <c r="I239" s="35"/>
    </row>
    <row r="240" ht="15.75" customHeight="1">
      <c r="C240" s="35"/>
      <c r="D240" s="35"/>
      <c r="E240" s="35"/>
      <c r="F240" s="35"/>
      <c r="G240" s="35"/>
      <c r="H240" s="35"/>
      <c r="I240" s="35"/>
    </row>
    <row r="241" ht="15.75" customHeight="1">
      <c r="C241" s="35"/>
      <c r="D241" s="35"/>
      <c r="E241" s="35"/>
      <c r="F241" s="35"/>
      <c r="G241" s="35"/>
      <c r="H241" s="35"/>
      <c r="I241" s="35"/>
    </row>
    <row r="242" ht="15.75" customHeight="1">
      <c r="C242" s="35"/>
      <c r="D242" s="35"/>
      <c r="E242" s="35"/>
      <c r="F242" s="35"/>
      <c r="G242" s="35"/>
      <c r="H242" s="35"/>
      <c r="I242" s="35"/>
    </row>
    <row r="243" ht="15.75" customHeight="1">
      <c r="C243" s="35"/>
      <c r="D243" s="35"/>
      <c r="E243" s="35"/>
      <c r="F243" s="35"/>
      <c r="G243" s="35"/>
      <c r="H243" s="35"/>
      <c r="I243" s="35"/>
    </row>
    <row r="244" ht="15.75" customHeight="1">
      <c r="C244" s="35"/>
      <c r="D244" s="35"/>
      <c r="E244" s="35"/>
      <c r="F244" s="35"/>
      <c r="G244" s="35"/>
      <c r="H244" s="35"/>
      <c r="I244" s="35"/>
    </row>
    <row r="245" ht="15.75" customHeight="1">
      <c r="C245" s="35"/>
      <c r="D245" s="35"/>
      <c r="E245" s="35"/>
      <c r="F245" s="35"/>
      <c r="G245" s="35"/>
      <c r="H245" s="35"/>
      <c r="I245" s="35"/>
    </row>
    <row r="246" ht="15.75" customHeight="1">
      <c r="C246" s="35"/>
      <c r="D246" s="35"/>
      <c r="E246" s="35"/>
      <c r="F246" s="35"/>
      <c r="G246" s="35"/>
      <c r="H246" s="35"/>
      <c r="I246" s="35"/>
    </row>
    <row r="247" ht="15.75" customHeight="1">
      <c r="C247" s="35"/>
      <c r="D247" s="35"/>
      <c r="E247" s="35"/>
      <c r="F247" s="35"/>
      <c r="G247" s="35"/>
      <c r="H247" s="35"/>
      <c r="I247" s="35"/>
    </row>
    <row r="248" ht="15.75" customHeight="1">
      <c r="C248" s="35"/>
      <c r="D248" s="35"/>
      <c r="E248" s="35"/>
      <c r="F248" s="35"/>
      <c r="G248" s="35"/>
      <c r="H248" s="35"/>
      <c r="I248" s="35"/>
    </row>
    <row r="249" ht="15.75" customHeight="1">
      <c r="C249" s="35"/>
      <c r="D249" s="35"/>
      <c r="E249" s="35"/>
      <c r="F249" s="35"/>
      <c r="G249" s="35"/>
      <c r="H249" s="35"/>
      <c r="I249" s="35"/>
    </row>
    <row r="250" ht="15.75" customHeight="1">
      <c r="C250" s="35"/>
      <c r="D250" s="35"/>
      <c r="E250" s="35"/>
      <c r="F250" s="35"/>
      <c r="G250" s="35"/>
      <c r="H250" s="35"/>
      <c r="I250" s="35"/>
    </row>
    <row r="251" ht="15.75" customHeight="1">
      <c r="C251" s="35"/>
      <c r="D251" s="35"/>
      <c r="E251" s="35"/>
      <c r="F251" s="35"/>
      <c r="G251" s="35"/>
      <c r="H251" s="35"/>
      <c r="I251" s="35"/>
    </row>
    <row r="252" ht="15.75" customHeight="1">
      <c r="C252" s="35"/>
      <c r="D252" s="35"/>
      <c r="E252" s="35"/>
      <c r="F252" s="35"/>
      <c r="G252" s="35"/>
      <c r="H252" s="35"/>
      <c r="I252" s="35"/>
    </row>
    <row r="253" ht="15.75" customHeight="1">
      <c r="C253" s="35"/>
      <c r="D253" s="35"/>
      <c r="E253" s="35"/>
      <c r="F253" s="35"/>
      <c r="G253" s="35"/>
      <c r="H253" s="35"/>
      <c r="I253" s="35"/>
    </row>
    <row r="254" ht="15.75" customHeight="1">
      <c r="C254" s="35"/>
      <c r="D254" s="35"/>
      <c r="E254" s="35"/>
      <c r="F254" s="35"/>
      <c r="G254" s="35"/>
      <c r="H254" s="35"/>
      <c r="I254" s="35"/>
    </row>
    <row r="255" ht="15.75" customHeight="1">
      <c r="C255" s="35"/>
      <c r="D255" s="35"/>
      <c r="E255" s="35"/>
      <c r="F255" s="35"/>
      <c r="G255" s="35"/>
      <c r="H255" s="35"/>
      <c r="I255" s="35"/>
    </row>
    <row r="256" ht="15.75" customHeight="1">
      <c r="C256" s="35"/>
      <c r="D256" s="35"/>
      <c r="E256" s="35"/>
      <c r="F256" s="35"/>
      <c r="G256" s="35"/>
      <c r="H256" s="35"/>
      <c r="I256" s="35"/>
    </row>
    <row r="257" ht="15.75" customHeight="1">
      <c r="C257" s="35"/>
      <c r="D257" s="35"/>
      <c r="E257" s="35"/>
      <c r="F257" s="35"/>
      <c r="G257" s="35"/>
      <c r="H257" s="35"/>
      <c r="I257" s="35"/>
    </row>
    <row r="258" ht="15.75" customHeight="1">
      <c r="C258" s="35"/>
      <c r="D258" s="35"/>
      <c r="E258" s="35"/>
      <c r="F258" s="35"/>
      <c r="G258" s="35"/>
      <c r="H258" s="35"/>
      <c r="I258" s="35"/>
    </row>
    <row r="259" ht="15.75" customHeight="1">
      <c r="C259" s="35"/>
      <c r="D259" s="35"/>
      <c r="E259" s="35"/>
      <c r="F259" s="35"/>
      <c r="G259" s="35"/>
      <c r="H259" s="35"/>
      <c r="I259" s="35"/>
    </row>
    <row r="260" ht="15.75" customHeight="1">
      <c r="C260" s="35"/>
      <c r="D260" s="35"/>
      <c r="E260" s="35"/>
      <c r="F260" s="35"/>
      <c r="G260" s="35"/>
      <c r="H260" s="35"/>
      <c r="I260" s="35"/>
    </row>
    <row r="261" ht="15.75" customHeight="1">
      <c r="C261" s="35"/>
      <c r="D261" s="35"/>
      <c r="E261" s="35"/>
      <c r="F261" s="35"/>
      <c r="G261" s="35"/>
      <c r="H261" s="35"/>
      <c r="I261" s="35"/>
    </row>
    <row r="262" ht="15.75" customHeight="1">
      <c r="C262" s="35"/>
      <c r="D262" s="35"/>
      <c r="E262" s="35"/>
      <c r="F262" s="35"/>
      <c r="G262" s="35"/>
      <c r="H262" s="35"/>
      <c r="I262" s="35"/>
    </row>
    <row r="263" ht="15.75" customHeight="1">
      <c r="C263" s="35"/>
      <c r="D263" s="35"/>
      <c r="E263" s="35"/>
      <c r="F263" s="35"/>
      <c r="G263" s="35"/>
      <c r="H263" s="35"/>
      <c r="I263" s="35"/>
    </row>
    <row r="264" ht="15.75" customHeight="1">
      <c r="C264" s="35"/>
      <c r="D264" s="35"/>
      <c r="E264" s="35"/>
      <c r="F264" s="35"/>
      <c r="G264" s="35"/>
      <c r="H264" s="35"/>
      <c r="I264" s="35"/>
    </row>
    <row r="265" ht="15.75" customHeight="1">
      <c r="C265" s="35"/>
      <c r="D265" s="35"/>
      <c r="E265" s="35"/>
      <c r="F265" s="35"/>
      <c r="G265" s="35"/>
      <c r="H265" s="35"/>
      <c r="I265" s="35"/>
    </row>
    <row r="266" ht="15.75" customHeight="1">
      <c r="C266" s="35"/>
      <c r="D266" s="35"/>
      <c r="E266" s="35"/>
      <c r="F266" s="35"/>
      <c r="G266" s="35"/>
      <c r="H266" s="35"/>
      <c r="I266" s="35"/>
    </row>
    <row r="267" ht="15.75" customHeight="1">
      <c r="C267" s="35"/>
      <c r="D267" s="35"/>
      <c r="E267" s="35"/>
      <c r="F267" s="35"/>
      <c r="G267" s="35"/>
      <c r="H267" s="35"/>
      <c r="I267" s="35"/>
    </row>
    <row r="268" ht="15.75" customHeight="1">
      <c r="C268" s="35"/>
      <c r="D268" s="35"/>
      <c r="E268" s="35"/>
      <c r="F268" s="35"/>
      <c r="G268" s="35"/>
      <c r="H268" s="35"/>
      <c r="I268" s="35"/>
    </row>
    <row r="269" ht="15.75" customHeight="1">
      <c r="C269" s="35"/>
      <c r="D269" s="35"/>
      <c r="E269" s="35"/>
      <c r="F269" s="35"/>
      <c r="G269" s="35"/>
      <c r="H269" s="35"/>
      <c r="I269" s="35"/>
    </row>
    <row r="270" ht="15.75" customHeight="1">
      <c r="C270" s="35"/>
      <c r="D270" s="35"/>
      <c r="E270" s="35"/>
      <c r="F270" s="35"/>
      <c r="G270" s="35"/>
      <c r="H270" s="35"/>
      <c r="I270" s="35"/>
    </row>
    <row r="271" ht="15.75" customHeight="1">
      <c r="C271" s="35"/>
      <c r="D271" s="35"/>
      <c r="E271" s="35"/>
      <c r="F271" s="35"/>
      <c r="G271" s="35"/>
      <c r="H271" s="35"/>
      <c r="I271" s="35"/>
    </row>
    <row r="272" ht="15.75" customHeight="1">
      <c r="C272" s="35"/>
      <c r="D272" s="35"/>
      <c r="E272" s="35"/>
      <c r="F272" s="35"/>
      <c r="G272" s="35"/>
      <c r="H272" s="35"/>
      <c r="I272" s="35"/>
    </row>
    <row r="273" ht="15.75" customHeight="1">
      <c r="C273" s="35"/>
      <c r="D273" s="35"/>
      <c r="E273" s="35"/>
      <c r="F273" s="35"/>
      <c r="G273" s="35"/>
      <c r="H273" s="35"/>
      <c r="I273" s="35"/>
    </row>
    <row r="274" ht="15.75" customHeight="1">
      <c r="C274" s="35"/>
      <c r="D274" s="35"/>
      <c r="E274" s="35"/>
      <c r="F274" s="35"/>
      <c r="G274" s="35"/>
      <c r="H274" s="35"/>
      <c r="I274" s="35"/>
    </row>
    <row r="275" ht="15.75" customHeight="1">
      <c r="C275" s="35"/>
      <c r="D275" s="35"/>
      <c r="E275" s="35"/>
      <c r="F275" s="35"/>
      <c r="G275" s="35"/>
      <c r="H275" s="35"/>
      <c r="I275" s="35"/>
    </row>
    <row r="276" ht="15.75" customHeight="1">
      <c r="C276" s="35"/>
      <c r="D276" s="35"/>
      <c r="E276" s="35"/>
      <c r="F276" s="35"/>
      <c r="G276" s="35"/>
      <c r="H276" s="35"/>
      <c r="I276" s="35"/>
    </row>
    <row r="277" ht="15.75" customHeight="1">
      <c r="C277" s="35"/>
      <c r="D277" s="35"/>
      <c r="E277" s="35"/>
      <c r="F277" s="35"/>
      <c r="G277" s="35"/>
      <c r="H277" s="35"/>
      <c r="I277" s="35"/>
    </row>
    <row r="278" ht="15.75" customHeight="1">
      <c r="C278" s="35"/>
      <c r="D278" s="35"/>
      <c r="E278" s="35"/>
      <c r="F278" s="35"/>
      <c r="G278" s="35"/>
      <c r="H278" s="35"/>
      <c r="I278" s="35"/>
    </row>
    <row r="279" ht="15.75" customHeight="1">
      <c r="C279" s="35"/>
      <c r="D279" s="35"/>
      <c r="E279" s="35"/>
      <c r="F279" s="35"/>
      <c r="G279" s="35"/>
      <c r="H279" s="35"/>
      <c r="I279" s="35"/>
    </row>
    <row r="280" ht="15.75" customHeight="1">
      <c r="C280" s="35"/>
      <c r="D280" s="35"/>
      <c r="E280" s="35"/>
      <c r="F280" s="35"/>
      <c r="G280" s="35"/>
      <c r="H280" s="35"/>
      <c r="I280" s="35"/>
    </row>
    <row r="281" ht="15.75" customHeight="1">
      <c r="C281" s="35"/>
      <c r="D281" s="35"/>
      <c r="E281" s="35"/>
      <c r="F281" s="35"/>
      <c r="G281" s="35"/>
      <c r="H281" s="35"/>
      <c r="I281" s="35"/>
    </row>
    <row r="282" ht="15.75" customHeight="1">
      <c r="C282" s="35"/>
      <c r="D282" s="35"/>
      <c r="E282" s="35"/>
      <c r="F282" s="35"/>
      <c r="G282" s="35"/>
      <c r="H282" s="35"/>
      <c r="I282" s="35"/>
    </row>
    <row r="283" ht="15.75" customHeight="1">
      <c r="C283" s="35"/>
      <c r="D283" s="35"/>
      <c r="E283" s="35"/>
      <c r="F283" s="35"/>
      <c r="G283" s="35"/>
      <c r="H283" s="35"/>
      <c r="I283" s="35"/>
    </row>
    <row r="284" ht="15.75" customHeight="1">
      <c r="C284" s="35"/>
      <c r="D284" s="35"/>
      <c r="E284" s="35"/>
      <c r="F284" s="35"/>
      <c r="G284" s="35"/>
      <c r="H284" s="35"/>
      <c r="I284" s="35"/>
    </row>
    <row r="285" ht="15.75" customHeight="1">
      <c r="C285" s="35"/>
      <c r="D285" s="35"/>
      <c r="E285" s="35"/>
      <c r="F285" s="35"/>
      <c r="G285" s="35"/>
      <c r="H285" s="35"/>
      <c r="I285" s="35"/>
    </row>
    <row r="286" ht="15.75" customHeight="1">
      <c r="C286" s="35"/>
      <c r="D286" s="35"/>
      <c r="E286" s="35"/>
      <c r="F286" s="35"/>
      <c r="G286" s="35"/>
      <c r="H286" s="35"/>
      <c r="I286" s="35"/>
    </row>
    <row r="287" ht="15.75" customHeight="1">
      <c r="C287" s="35"/>
      <c r="D287" s="35"/>
      <c r="E287" s="35"/>
      <c r="F287" s="35"/>
      <c r="G287" s="35"/>
      <c r="H287" s="35"/>
      <c r="I287" s="35"/>
    </row>
    <row r="288" ht="15.75" customHeight="1">
      <c r="C288" s="35"/>
      <c r="D288" s="35"/>
      <c r="E288" s="35"/>
      <c r="F288" s="35"/>
      <c r="G288" s="35"/>
      <c r="H288" s="35"/>
      <c r="I288" s="35"/>
    </row>
    <row r="289" ht="15.75" customHeight="1">
      <c r="C289" s="35"/>
      <c r="D289" s="35"/>
      <c r="E289" s="35"/>
      <c r="F289" s="35"/>
      <c r="G289" s="35"/>
      <c r="H289" s="35"/>
      <c r="I289" s="35"/>
    </row>
    <row r="290" ht="15.75" customHeight="1">
      <c r="C290" s="35"/>
      <c r="D290" s="35"/>
      <c r="E290" s="35"/>
      <c r="F290" s="35"/>
      <c r="G290" s="35"/>
      <c r="H290" s="35"/>
      <c r="I290" s="35"/>
    </row>
    <row r="291" ht="15.75" customHeight="1">
      <c r="C291" s="35"/>
      <c r="D291" s="35"/>
      <c r="E291" s="35"/>
      <c r="F291" s="35"/>
      <c r="G291" s="35"/>
      <c r="H291" s="35"/>
      <c r="I291" s="35"/>
    </row>
    <row r="292" ht="15.75" customHeight="1">
      <c r="C292" s="35"/>
      <c r="D292" s="35"/>
      <c r="E292" s="35"/>
      <c r="F292" s="35"/>
      <c r="G292" s="35"/>
      <c r="H292" s="35"/>
      <c r="I292" s="35"/>
    </row>
    <row r="293" ht="15.75" customHeight="1">
      <c r="C293" s="35"/>
      <c r="D293" s="35"/>
      <c r="E293" s="35"/>
      <c r="F293" s="35"/>
      <c r="G293" s="35"/>
      <c r="H293" s="35"/>
      <c r="I293" s="35"/>
    </row>
    <row r="294" ht="15.75" customHeight="1">
      <c r="C294" s="35"/>
      <c r="D294" s="35"/>
      <c r="E294" s="35"/>
      <c r="F294" s="35"/>
      <c r="G294" s="35"/>
      <c r="H294" s="35"/>
      <c r="I294" s="35"/>
    </row>
    <row r="295" ht="15.75" customHeight="1">
      <c r="C295" s="35"/>
      <c r="D295" s="35"/>
      <c r="E295" s="35"/>
      <c r="F295" s="35"/>
      <c r="G295" s="35"/>
      <c r="H295" s="35"/>
      <c r="I295" s="35"/>
    </row>
    <row r="296" ht="15.75" customHeight="1">
      <c r="C296" s="35"/>
      <c r="D296" s="35"/>
      <c r="E296" s="35"/>
      <c r="F296" s="35"/>
      <c r="G296" s="35"/>
      <c r="H296" s="35"/>
      <c r="I296" s="35"/>
    </row>
    <row r="297" ht="15.75" customHeight="1">
      <c r="C297" s="35"/>
      <c r="D297" s="35"/>
      <c r="E297" s="35"/>
      <c r="F297" s="35"/>
      <c r="G297" s="35"/>
      <c r="H297" s="35"/>
      <c r="I297" s="35"/>
    </row>
    <row r="298" ht="15.75" customHeight="1">
      <c r="C298" s="35"/>
      <c r="D298" s="35"/>
      <c r="E298" s="35"/>
      <c r="F298" s="35"/>
      <c r="G298" s="35"/>
      <c r="H298" s="35"/>
      <c r="I298" s="35"/>
    </row>
    <row r="299" ht="15.75" customHeight="1">
      <c r="C299" s="35"/>
      <c r="D299" s="35"/>
      <c r="E299" s="35"/>
      <c r="F299" s="35"/>
      <c r="G299" s="35"/>
      <c r="H299" s="35"/>
      <c r="I299" s="35"/>
    </row>
    <row r="300" ht="15.75" customHeight="1">
      <c r="C300" s="35"/>
      <c r="D300" s="35"/>
      <c r="E300" s="35"/>
      <c r="F300" s="35"/>
      <c r="G300" s="35"/>
      <c r="H300" s="35"/>
      <c r="I300" s="35"/>
    </row>
    <row r="301" ht="15.75" customHeight="1">
      <c r="C301" s="35"/>
      <c r="D301" s="35"/>
      <c r="E301" s="35"/>
      <c r="F301" s="35"/>
      <c r="G301" s="35"/>
      <c r="H301" s="35"/>
      <c r="I301" s="35"/>
    </row>
    <row r="302" ht="15.75" customHeight="1">
      <c r="C302" s="35"/>
      <c r="D302" s="35"/>
      <c r="E302" s="35"/>
      <c r="F302" s="35"/>
      <c r="G302" s="35"/>
      <c r="H302" s="35"/>
      <c r="I302" s="35"/>
    </row>
    <row r="303" ht="15.75" customHeight="1">
      <c r="C303" s="35"/>
      <c r="D303" s="35"/>
      <c r="E303" s="35"/>
      <c r="F303" s="35"/>
      <c r="G303" s="35"/>
      <c r="H303" s="35"/>
      <c r="I303" s="35"/>
    </row>
    <row r="304" ht="15.75" customHeight="1">
      <c r="C304" s="35"/>
      <c r="D304" s="35"/>
      <c r="E304" s="35"/>
      <c r="F304" s="35"/>
      <c r="G304" s="35"/>
      <c r="H304" s="35"/>
      <c r="I304" s="35"/>
    </row>
    <row r="305" ht="15.75" customHeight="1">
      <c r="C305" s="35"/>
      <c r="D305" s="35"/>
      <c r="E305" s="35"/>
      <c r="F305" s="35"/>
      <c r="G305" s="35"/>
      <c r="H305" s="35"/>
      <c r="I305" s="35"/>
    </row>
    <row r="306" ht="15.75" customHeight="1">
      <c r="C306" s="35"/>
      <c r="D306" s="35"/>
      <c r="E306" s="35"/>
      <c r="F306" s="35"/>
      <c r="G306" s="35"/>
      <c r="H306" s="35"/>
      <c r="I306" s="35"/>
    </row>
    <row r="307" ht="15.75" customHeight="1">
      <c r="C307" s="35"/>
      <c r="D307" s="35"/>
      <c r="E307" s="35"/>
      <c r="F307" s="35"/>
      <c r="G307" s="35"/>
      <c r="H307" s="35"/>
      <c r="I307" s="35"/>
    </row>
    <row r="308" ht="15.75" customHeight="1">
      <c r="C308" s="35"/>
      <c r="D308" s="35"/>
      <c r="E308" s="35"/>
      <c r="F308" s="35"/>
      <c r="G308" s="35"/>
      <c r="H308" s="35"/>
      <c r="I308" s="35"/>
    </row>
    <row r="309" ht="15.75" customHeight="1">
      <c r="C309" s="35"/>
      <c r="D309" s="35"/>
      <c r="E309" s="35"/>
      <c r="F309" s="35"/>
      <c r="G309" s="35"/>
      <c r="H309" s="35"/>
      <c r="I309" s="35"/>
    </row>
    <row r="310" ht="15.75" customHeight="1">
      <c r="C310" s="35"/>
      <c r="D310" s="35"/>
      <c r="E310" s="35"/>
      <c r="F310" s="35"/>
      <c r="G310" s="35"/>
      <c r="H310" s="35"/>
      <c r="I310" s="35"/>
    </row>
    <row r="311" ht="15.75" customHeight="1">
      <c r="C311" s="35"/>
      <c r="D311" s="35"/>
      <c r="E311" s="35"/>
      <c r="F311" s="35"/>
      <c r="G311" s="35"/>
      <c r="H311" s="35"/>
      <c r="I311" s="35"/>
    </row>
    <row r="312" ht="15.75" customHeight="1">
      <c r="C312" s="35"/>
      <c r="D312" s="35"/>
      <c r="E312" s="35"/>
      <c r="F312" s="35"/>
      <c r="G312" s="35"/>
      <c r="H312" s="35"/>
      <c r="I312" s="35"/>
    </row>
    <row r="313" ht="15.75" customHeight="1">
      <c r="C313" s="35"/>
      <c r="D313" s="35"/>
      <c r="E313" s="35"/>
      <c r="F313" s="35"/>
      <c r="G313" s="35"/>
      <c r="H313" s="35"/>
      <c r="I313" s="35"/>
    </row>
    <row r="314" ht="15.75" customHeight="1">
      <c r="C314" s="35"/>
      <c r="D314" s="35"/>
      <c r="E314" s="35"/>
      <c r="F314" s="35"/>
      <c r="G314" s="35"/>
      <c r="H314" s="35"/>
      <c r="I314" s="35"/>
    </row>
    <row r="315" ht="15.75" customHeight="1">
      <c r="C315" s="35"/>
      <c r="D315" s="35"/>
      <c r="E315" s="35"/>
      <c r="F315" s="35"/>
      <c r="G315" s="35"/>
      <c r="H315" s="35"/>
      <c r="I315" s="35"/>
    </row>
    <row r="316" ht="15.75" customHeight="1">
      <c r="C316" s="35"/>
      <c r="D316" s="35"/>
      <c r="E316" s="35"/>
      <c r="F316" s="35"/>
      <c r="G316" s="35"/>
      <c r="H316" s="35"/>
      <c r="I316" s="35"/>
    </row>
    <row r="317" ht="15.75" customHeight="1">
      <c r="C317" s="35"/>
      <c r="D317" s="35"/>
      <c r="E317" s="35"/>
      <c r="F317" s="35"/>
      <c r="G317" s="35"/>
      <c r="H317" s="35"/>
      <c r="I317" s="35"/>
    </row>
    <row r="318" ht="15.75" customHeight="1">
      <c r="C318" s="35"/>
      <c r="D318" s="35"/>
      <c r="E318" s="35"/>
      <c r="F318" s="35"/>
      <c r="G318" s="35"/>
      <c r="H318" s="35"/>
      <c r="I318" s="35"/>
    </row>
    <row r="319" ht="15.75" customHeight="1">
      <c r="C319" s="35"/>
      <c r="D319" s="35"/>
      <c r="E319" s="35"/>
      <c r="F319" s="35"/>
      <c r="G319" s="35"/>
      <c r="H319" s="35"/>
      <c r="I319" s="35"/>
    </row>
    <row r="320" ht="15.75" customHeight="1">
      <c r="C320" s="35"/>
      <c r="D320" s="35"/>
      <c r="E320" s="35"/>
      <c r="F320" s="35"/>
      <c r="G320" s="35"/>
      <c r="H320" s="35"/>
      <c r="I320" s="35"/>
    </row>
    <row r="321" ht="15.75" customHeight="1">
      <c r="C321" s="35"/>
      <c r="D321" s="35"/>
      <c r="E321" s="35"/>
      <c r="F321" s="35"/>
      <c r="G321" s="35"/>
      <c r="H321" s="35"/>
      <c r="I321" s="35"/>
    </row>
    <row r="322" ht="15.75" customHeight="1">
      <c r="C322" s="35"/>
      <c r="D322" s="35"/>
      <c r="E322" s="35"/>
      <c r="F322" s="35"/>
      <c r="G322" s="35"/>
      <c r="H322" s="35"/>
      <c r="I322" s="35"/>
    </row>
    <row r="323" ht="15.75" customHeight="1">
      <c r="C323" s="35"/>
      <c r="D323" s="35"/>
      <c r="E323" s="35"/>
      <c r="F323" s="35"/>
      <c r="G323" s="35"/>
      <c r="H323" s="35"/>
      <c r="I323" s="35"/>
    </row>
    <row r="324" ht="15.75" customHeight="1">
      <c r="C324" s="35"/>
      <c r="D324" s="35"/>
      <c r="E324" s="35"/>
      <c r="F324" s="35"/>
      <c r="G324" s="35"/>
      <c r="H324" s="35"/>
      <c r="I324" s="35"/>
    </row>
    <row r="325" ht="15.75" customHeight="1">
      <c r="C325" s="35"/>
      <c r="D325" s="35"/>
      <c r="E325" s="35"/>
      <c r="F325" s="35"/>
      <c r="G325" s="35"/>
      <c r="H325" s="35"/>
      <c r="I325" s="35"/>
    </row>
    <row r="326" ht="15.75" customHeight="1">
      <c r="C326" s="35"/>
      <c r="D326" s="35"/>
      <c r="E326" s="35"/>
      <c r="F326" s="35"/>
      <c r="G326" s="35"/>
      <c r="H326" s="35"/>
      <c r="I326" s="35"/>
    </row>
    <row r="327" ht="15.75" customHeight="1">
      <c r="C327" s="35"/>
      <c r="D327" s="35"/>
      <c r="E327" s="35"/>
      <c r="F327" s="35"/>
      <c r="G327" s="35"/>
      <c r="H327" s="35"/>
      <c r="I327" s="35"/>
    </row>
    <row r="328" ht="15.75" customHeight="1">
      <c r="C328" s="35"/>
      <c r="D328" s="35"/>
      <c r="E328" s="35"/>
      <c r="F328" s="35"/>
      <c r="G328" s="35"/>
      <c r="H328" s="35"/>
      <c r="I328" s="35"/>
    </row>
    <row r="329" ht="15.75" customHeight="1">
      <c r="C329" s="35"/>
      <c r="D329" s="35"/>
      <c r="E329" s="35"/>
      <c r="F329" s="35"/>
      <c r="G329" s="35"/>
      <c r="H329" s="35"/>
      <c r="I329" s="35"/>
    </row>
    <row r="330" ht="15.75" customHeight="1">
      <c r="C330" s="35"/>
      <c r="D330" s="35"/>
      <c r="E330" s="35"/>
      <c r="F330" s="35"/>
      <c r="G330" s="35"/>
      <c r="H330" s="35"/>
      <c r="I330" s="35"/>
    </row>
    <row r="331" ht="15.75" customHeight="1">
      <c r="C331" s="35"/>
      <c r="D331" s="35"/>
      <c r="E331" s="35"/>
      <c r="F331" s="35"/>
      <c r="G331" s="35"/>
      <c r="H331" s="35"/>
      <c r="I331" s="35"/>
    </row>
    <row r="332" ht="15.75" customHeight="1">
      <c r="C332" s="35"/>
      <c r="D332" s="35"/>
      <c r="E332" s="35"/>
      <c r="F332" s="35"/>
      <c r="G332" s="35"/>
      <c r="H332" s="35"/>
      <c r="I332" s="35"/>
    </row>
    <row r="333" ht="15.75" customHeight="1">
      <c r="C333" s="35"/>
      <c r="D333" s="35"/>
      <c r="E333" s="35"/>
      <c r="F333" s="35"/>
      <c r="G333" s="35"/>
      <c r="H333" s="35"/>
      <c r="I333" s="35"/>
    </row>
    <row r="334" ht="15.75" customHeight="1">
      <c r="C334" s="35"/>
      <c r="D334" s="35"/>
      <c r="E334" s="35"/>
      <c r="F334" s="35"/>
      <c r="G334" s="35"/>
      <c r="H334" s="35"/>
      <c r="I334" s="35"/>
    </row>
    <row r="335" ht="15.75" customHeight="1">
      <c r="C335" s="35"/>
      <c r="D335" s="35"/>
      <c r="E335" s="35"/>
      <c r="F335" s="35"/>
      <c r="G335" s="35"/>
      <c r="H335" s="35"/>
      <c r="I335" s="35"/>
    </row>
    <row r="336" ht="15.75" customHeight="1">
      <c r="C336" s="35"/>
      <c r="D336" s="35"/>
      <c r="E336" s="35"/>
      <c r="F336" s="35"/>
      <c r="G336" s="35"/>
      <c r="H336" s="35"/>
      <c r="I336" s="35"/>
    </row>
    <row r="337" ht="15.75" customHeight="1">
      <c r="C337" s="35"/>
      <c r="D337" s="35"/>
      <c r="E337" s="35"/>
      <c r="F337" s="35"/>
      <c r="G337" s="35"/>
      <c r="H337" s="35"/>
      <c r="I337" s="35"/>
    </row>
    <row r="338" ht="15.75" customHeight="1">
      <c r="C338" s="35"/>
      <c r="D338" s="35"/>
      <c r="E338" s="35"/>
      <c r="F338" s="35"/>
      <c r="G338" s="35"/>
      <c r="H338" s="35"/>
      <c r="I338" s="35"/>
    </row>
    <row r="339" ht="15.75" customHeight="1">
      <c r="C339" s="35"/>
      <c r="D339" s="35"/>
      <c r="E339" s="35"/>
      <c r="F339" s="35"/>
      <c r="G339" s="35"/>
      <c r="H339" s="35"/>
      <c r="I339" s="35"/>
    </row>
    <row r="340" ht="15.75" customHeight="1">
      <c r="C340" s="35"/>
      <c r="D340" s="35"/>
      <c r="E340" s="35"/>
      <c r="F340" s="35"/>
      <c r="G340" s="35"/>
      <c r="H340" s="35"/>
      <c r="I340" s="35"/>
    </row>
    <row r="341" ht="15.75" customHeight="1">
      <c r="C341" s="35"/>
      <c r="D341" s="35"/>
      <c r="E341" s="35"/>
      <c r="F341" s="35"/>
      <c r="G341" s="35"/>
      <c r="H341" s="35"/>
      <c r="I341" s="35"/>
    </row>
    <row r="342" ht="15.75" customHeight="1">
      <c r="C342" s="35"/>
      <c r="D342" s="35"/>
      <c r="E342" s="35"/>
      <c r="F342" s="35"/>
      <c r="G342" s="35"/>
      <c r="H342" s="35"/>
      <c r="I342" s="35"/>
    </row>
    <row r="343" ht="15.75" customHeight="1">
      <c r="C343" s="35"/>
      <c r="D343" s="35"/>
      <c r="E343" s="35"/>
      <c r="F343" s="35"/>
      <c r="G343" s="35"/>
      <c r="H343" s="35"/>
      <c r="I343" s="35"/>
    </row>
    <row r="344" ht="15.75" customHeight="1">
      <c r="C344" s="35"/>
      <c r="D344" s="35"/>
      <c r="E344" s="35"/>
      <c r="F344" s="35"/>
      <c r="G344" s="35"/>
      <c r="H344" s="35"/>
      <c r="I344" s="35"/>
    </row>
    <row r="345" ht="15.75" customHeight="1">
      <c r="C345" s="35"/>
      <c r="D345" s="35"/>
      <c r="E345" s="35"/>
      <c r="F345" s="35"/>
      <c r="G345" s="35"/>
      <c r="H345" s="35"/>
      <c r="I345" s="35"/>
    </row>
    <row r="346" ht="15.75" customHeight="1">
      <c r="C346" s="35"/>
      <c r="D346" s="35"/>
      <c r="E346" s="35"/>
      <c r="F346" s="35"/>
      <c r="G346" s="35"/>
      <c r="H346" s="35"/>
      <c r="I346" s="35"/>
    </row>
    <row r="347" ht="15.75" customHeight="1">
      <c r="C347" s="35"/>
      <c r="D347" s="35"/>
      <c r="E347" s="35"/>
      <c r="F347" s="35"/>
      <c r="G347" s="35"/>
      <c r="H347" s="35"/>
      <c r="I347" s="35"/>
    </row>
    <row r="348" ht="15.75" customHeight="1">
      <c r="C348" s="35"/>
      <c r="D348" s="35"/>
      <c r="E348" s="35"/>
      <c r="F348" s="35"/>
      <c r="G348" s="35"/>
      <c r="H348" s="35"/>
      <c r="I348" s="35"/>
    </row>
    <row r="349" ht="15.75" customHeight="1">
      <c r="C349" s="35"/>
      <c r="D349" s="35"/>
      <c r="E349" s="35"/>
      <c r="F349" s="35"/>
      <c r="G349" s="35"/>
      <c r="H349" s="35"/>
      <c r="I349" s="35"/>
    </row>
    <row r="350" ht="15.75" customHeight="1">
      <c r="C350" s="35"/>
      <c r="D350" s="35"/>
      <c r="E350" s="35"/>
      <c r="F350" s="35"/>
      <c r="G350" s="35"/>
      <c r="H350" s="35"/>
      <c r="I350" s="35"/>
    </row>
    <row r="351" ht="15.75" customHeight="1">
      <c r="C351" s="35"/>
      <c r="D351" s="35"/>
      <c r="E351" s="35"/>
      <c r="F351" s="35"/>
      <c r="G351" s="35"/>
      <c r="H351" s="35"/>
      <c r="I351" s="35"/>
    </row>
    <row r="352" ht="15.75" customHeight="1">
      <c r="C352" s="35"/>
      <c r="D352" s="35"/>
      <c r="E352" s="35"/>
      <c r="F352" s="35"/>
      <c r="G352" s="35"/>
      <c r="H352" s="35"/>
      <c r="I352" s="35"/>
    </row>
    <row r="353" ht="15.75" customHeight="1">
      <c r="C353" s="35"/>
      <c r="D353" s="35"/>
      <c r="E353" s="35"/>
      <c r="F353" s="35"/>
      <c r="G353" s="35"/>
      <c r="H353" s="35"/>
      <c r="I353" s="35"/>
    </row>
    <row r="354" ht="15.75" customHeight="1">
      <c r="C354" s="35"/>
      <c r="D354" s="35"/>
      <c r="E354" s="35"/>
      <c r="F354" s="35"/>
      <c r="G354" s="35"/>
      <c r="H354" s="35"/>
      <c r="I354" s="35"/>
    </row>
    <row r="355" ht="15.75" customHeight="1">
      <c r="C355" s="35"/>
      <c r="D355" s="35"/>
      <c r="E355" s="35"/>
      <c r="F355" s="35"/>
      <c r="G355" s="35"/>
      <c r="H355" s="35"/>
      <c r="I355" s="35"/>
    </row>
    <row r="356" ht="15.75" customHeight="1">
      <c r="C356" s="35"/>
      <c r="D356" s="35"/>
      <c r="E356" s="35"/>
      <c r="F356" s="35"/>
      <c r="G356" s="35"/>
      <c r="H356" s="35"/>
      <c r="I356" s="35"/>
    </row>
    <row r="357" ht="15.75" customHeight="1">
      <c r="C357" s="35"/>
      <c r="D357" s="35"/>
      <c r="E357" s="35"/>
      <c r="F357" s="35"/>
      <c r="G357" s="35"/>
      <c r="H357" s="35"/>
      <c r="I357" s="35"/>
    </row>
    <row r="358" ht="15.75" customHeight="1">
      <c r="C358" s="35"/>
      <c r="D358" s="35"/>
      <c r="E358" s="35"/>
      <c r="F358" s="35"/>
      <c r="G358" s="35"/>
      <c r="H358" s="35"/>
      <c r="I358" s="35"/>
    </row>
    <row r="359" ht="15.75" customHeight="1">
      <c r="C359" s="35"/>
      <c r="D359" s="35"/>
      <c r="E359" s="35"/>
      <c r="F359" s="35"/>
      <c r="G359" s="35"/>
      <c r="H359" s="35"/>
      <c r="I359" s="35"/>
    </row>
    <row r="360" ht="15.75" customHeight="1">
      <c r="C360" s="35"/>
      <c r="D360" s="35"/>
      <c r="E360" s="35"/>
      <c r="F360" s="35"/>
      <c r="G360" s="35"/>
      <c r="H360" s="35"/>
      <c r="I360" s="35"/>
    </row>
    <row r="361" ht="15.75" customHeight="1">
      <c r="C361" s="35"/>
      <c r="D361" s="35"/>
      <c r="E361" s="35"/>
      <c r="F361" s="35"/>
      <c r="G361" s="35"/>
      <c r="H361" s="35"/>
      <c r="I361" s="35"/>
    </row>
    <row r="362" ht="15.75" customHeight="1">
      <c r="C362" s="35"/>
      <c r="D362" s="35"/>
      <c r="E362" s="35"/>
      <c r="F362" s="35"/>
      <c r="G362" s="35"/>
      <c r="H362" s="35"/>
      <c r="I362" s="35"/>
    </row>
    <row r="363" ht="15.75" customHeight="1">
      <c r="C363" s="35"/>
      <c r="D363" s="35"/>
      <c r="E363" s="35"/>
      <c r="F363" s="35"/>
      <c r="G363" s="35"/>
      <c r="H363" s="35"/>
      <c r="I363" s="35"/>
    </row>
    <row r="364" ht="15.75" customHeight="1">
      <c r="C364" s="35"/>
      <c r="D364" s="35"/>
      <c r="E364" s="35"/>
      <c r="F364" s="35"/>
      <c r="G364" s="35"/>
      <c r="H364" s="35"/>
      <c r="I364" s="35"/>
    </row>
    <row r="365" ht="15.75" customHeight="1">
      <c r="C365" s="35"/>
      <c r="D365" s="35"/>
      <c r="E365" s="35"/>
      <c r="F365" s="35"/>
      <c r="G365" s="35"/>
      <c r="H365" s="35"/>
      <c r="I365" s="35"/>
    </row>
    <row r="366" ht="15.75" customHeight="1">
      <c r="C366" s="35"/>
      <c r="D366" s="35"/>
      <c r="E366" s="35"/>
      <c r="F366" s="35"/>
      <c r="G366" s="35"/>
      <c r="H366" s="35"/>
      <c r="I366" s="35"/>
    </row>
    <row r="367" ht="15.75" customHeight="1">
      <c r="C367" s="35"/>
      <c r="D367" s="35"/>
      <c r="E367" s="35"/>
      <c r="F367" s="35"/>
      <c r="G367" s="35"/>
      <c r="H367" s="35"/>
      <c r="I367" s="35"/>
    </row>
    <row r="368" ht="15.75" customHeight="1">
      <c r="C368" s="35"/>
      <c r="D368" s="35"/>
      <c r="E368" s="35"/>
      <c r="F368" s="35"/>
      <c r="G368" s="35"/>
      <c r="H368" s="35"/>
      <c r="I368" s="35"/>
    </row>
    <row r="369" ht="15.75" customHeight="1">
      <c r="C369" s="35"/>
      <c r="D369" s="35"/>
      <c r="E369" s="35"/>
      <c r="F369" s="35"/>
      <c r="G369" s="35"/>
      <c r="H369" s="35"/>
      <c r="I369" s="35"/>
    </row>
    <row r="370" ht="15.75" customHeight="1">
      <c r="C370" s="35"/>
      <c r="D370" s="35"/>
      <c r="E370" s="35"/>
      <c r="F370" s="35"/>
      <c r="G370" s="35"/>
      <c r="H370" s="35"/>
      <c r="I370" s="35"/>
    </row>
    <row r="371" ht="15.75" customHeight="1">
      <c r="C371" s="35"/>
      <c r="D371" s="35"/>
      <c r="E371" s="35"/>
      <c r="F371" s="35"/>
      <c r="G371" s="35"/>
      <c r="H371" s="35"/>
      <c r="I371" s="35"/>
    </row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44.0"/>
    <col customWidth="1" min="2" max="2" width="16.0"/>
    <col customWidth="1" min="3" max="3" width="16.14"/>
    <col customWidth="1" min="4" max="4" width="14.29"/>
    <col customWidth="1" min="5" max="5" width="14.14"/>
    <col customWidth="1" min="6" max="6" width="13.71"/>
    <col customWidth="1" min="7" max="7" width="13.57"/>
    <col customWidth="1" min="8" max="8" width="13.0"/>
    <col customWidth="1" min="9" max="9" width="13.86"/>
    <col customWidth="1" min="10" max="10" width="13.57"/>
    <col customWidth="1" min="11" max="11" width="13.86"/>
    <col customWidth="1" min="12" max="12" width="13.43"/>
    <col customWidth="1" min="13" max="13" width="13.29"/>
    <col customWidth="1" min="14" max="14" width="14.86"/>
  </cols>
  <sheetData>
    <row r="1" ht="22.5" customHeight="1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3"/>
      <c r="O1" s="76"/>
      <c r="P1" s="76"/>
      <c r="Q1" s="76"/>
      <c r="R1" s="76"/>
      <c r="S1" s="76"/>
    </row>
    <row r="2" ht="15.75" customHeight="1">
      <c r="A2" s="177" t="s">
        <v>124</v>
      </c>
      <c r="B2" s="178">
        <v>43344.0</v>
      </c>
      <c r="C2" s="178">
        <f t="shared" ref="C2:M2" si="1">B2+31</f>
        <v>43375</v>
      </c>
      <c r="D2" s="178">
        <f t="shared" si="1"/>
        <v>43406</v>
      </c>
      <c r="E2" s="178">
        <f t="shared" si="1"/>
        <v>43437</v>
      </c>
      <c r="F2" s="178">
        <f t="shared" si="1"/>
        <v>43468</v>
      </c>
      <c r="G2" s="178">
        <f t="shared" si="1"/>
        <v>43499</v>
      </c>
      <c r="H2" s="178">
        <f t="shared" si="1"/>
        <v>43530</v>
      </c>
      <c r="I2" s="178">
        <f t="shared" si="1"/>
        <v>43561</v>
      </c>
      <c r="J2" s="178">
        <f t="shared" si="1"/>
        <v>43592</v>
      </c>
      <c r="K2" s="178">
        <f t="shared" si="1"/>
        <v>43623</v>
      </c>
      <c r="L2" s="178">
        <f t="shared" si="1"/>
        <v>43654</v>
      </c>
      <c r="M2" s="178">
        <f t="shared" si="1"/>
        <v>43685</v>
      </c>
      <c r="N2" s="179" t="s">
        <v>125</v>
      </c>
      <c r="O2" s="115" t="s">
        <v>126</v>
      </c>
      <c r="P2" s="115" t="s">
        <v>127</v>
      </c>
      <c r="Q2" s="115" t="s">
        <v>128</v>
      </c>
      <c r="R2" s="76"/>
      <c r="S2" s="76"/>
    </row>
    <row r="3" ht="15.75" customHeight="1">
      <c r="A3" s="418" t="s">
        <v>129</v>
      </c>
      <c r="B3" s="419">
        <v>1.727179993E7</v>
      </c>
      <c r="C3" s="420">
        <v>1.725184791E7</v>
      </c>
      <c r="D3" s="186">
        <v>1.725398752E7</v>
      </c>
      <c r="E3" s="181">
        <v>1.758457781E7</v>
      </c>
      <c r="F3" s="181">
        <v>1.769979169E7</v>
      </c>
      <c r="G3" s="181">
        <v>1.771173345E7</v>
      </c>
      <c r="H3" s="181">
        <v>1.768909693E7</v>
      </c>
      <c r="I3" s="181">
        <v>1.7661611189999998E7</v>
      </c>
      <c r="J3" s="181">
        <v>1.7613150380000003E7</v>
      </c>
      <c r="K3" s="181">
        <v>2.025152746E7</v>
      </c>
      <c r="L3" s="181">
        <v>2.052485772E7</v>
      </c>
      <c r="M3" s="181">
        <v>1.955117212E7</v>
      </c>
      <c r="N3" s="182">
        <f t="shared" ref="N3:N19" si="2">SUM(B3:M3)</f>
        <v>218065154.1</v>
      </c>
      <c r="O3" s="183" t="s">
        <v>9</v>
      </c>
      <c r="P3" s="119">
        <f>63834092.58+143468609.26</f>
        <v>207302701.8</v>
      </c>
      <c r="Q3" s="119">
        <f t="shared" ref="Q3:Q10" si="3">N3-P3</f>
        <v>10762452.27</v>
      </c>
      <c r="R3" s="43"/>
      <c r="S3" s="43"/>
    </row>
    <row r="4" ht="15.75" customHeight="1">
      <c r="A4" s="418" t="s">
        <v>377</v>
      </c>
      <c r="B4" s="419">
        <v>630415.56</v>
      </c>
      <c r="C4" s="181">
        <v>630415.56</v>
      </c>
      <c r="D4" s="186">
        <v>642052.9</v>
      </c>
      <c r="E4" s="181">
        <v>643843.27</v>
      </c>
      <c r="F4" s="181">
        <v>643843.27</v>
      </c>
      <c r="G4" s="181">
        <v>641912.47</v>
      </c>
      <c r="H4" s="181">
        <v>650794.05</v>
      </c>
      <c r="I4" s="181">
        <v>649635.58</v>
      </c>
      <c r="J4" s="181">
        <v>650794.05</v>
      </c>
      <c r="K4" s="181">
        <v>676825.14</v>
      </c>
      <c r="L4" s="181">
        <v>676825.14</v>
      </c>
      <c r="M4" s="181">
        <v>676825.14</v>
      </c>
      <c r="N4" s="182">
        <f t="shared" si="2"/>
        <v>7814182.13</v>
      </c>
      <c r="O4" s="183" t="s">
        <v>14</v>
      </c>
      <c r="P4" s="117">
        <f>2546727.29+5267454.84</f>
        <v>7814182.13</v>
      </c>
      <c r="Q4" s="119">
        <f t="shared" si="3"/>
        <v>-0.0000000009313225746</v>
      </c>
      <c r="R4" s="43"/>
      <c r="S4" s="43"/>
    </row>
    <row r="5" ht="15.75" customHeight="1">
      <c r="A5" s="418" t="s">
        <v>378</v>
      </c>
      <c r="B5" s="419">
        <v>619889.63</v>
      </c>
      <c r="C5" s="181">
        <v>620360.14</v>
      </c>
      <c r="D5" s="186">
        <v>620344.56</v>
      </c>
      <c r="E5" s="181">
        <v>612688.35</v>
      </c>
      <c r="F5" s="181">
        <v>612855.42</v>
      </c>
      <c r="G5" s="181">
        <v>612921.09</v>
      </c>
      <c r="H5" s="181">
        <v>609261.22</v>
      </c>
      <c r="I5" s="181">
        <v>609294.05</v>
      </c>
      <c r="J5" s="181">
        <v>604077.32</v>
      </c>
      <c r="K5" s="181">
        <v>620301.18</v>
      </c>
      <c r="L5" s="181">
        <v>620719.34</v>
      </c>
      <c r="M5" s="181">
        <v>616562.65</v>
      </c>
      <c r="N5" s="182">
        <f t="shared" si="2"/>
        <v>7379274.95</v>
      </c>
      <c r="O5" s="183" t="s">
        <v>18</v>
      </c>
      <c r="P5" s="117">
        <f>2473282.68+4905992.27</f>
        <v>7379274.95</v>
      </c>
      <c r="Q5" s="119">
        <f t="shared" si="3"/>
        <v>0.0000000009313225746</v>
      </c>
      <c r="R5" s="43"/>
      <c r="S5" s="43"/>
    </row>
    <row r="6" ht="15.75" customHeight="1">
      <c r="A6" s="170" t="s">
        <v>136</v>
      </c>
      <c r="B6" s="419">
        <v>0.0</v>
      </c>
      <c r="C6" s="181">
        <v>0.0</v>
      </c>
      <c r="D6" s="186">
        <v>3729.92</v>
      </c>
      <c r="E6" s="181">
        <v>1.776406162E7</v>
      </c>
      <c r="F6" s="181">
        <v>0.0</v>
      </c>
      <c r="G6" s="181">
        <v>1930.76</v>
      </c>
      <c r="H6" s="181">
        <v>0.0</v>
      </c>
      <c r="I6" s="181">
        <v>7018.48</v>
      </c>
      <c r="J6" s="181">
        <v>0.0</v>
      </c>
      <c r="K6" s="181">
        <v>21479.12</v>
      </c>
      <c r="L6" s="181">
        <v>17731.11</v>
      </c>
      <c r="M6" s="181">
        <v>0.0</v>
      </c>
      <c r="N6" s="182">
        <f t="shared" si="2"/>
        <v>17815951.01</v>
      </c>
      <c r="O6" s="183" t="s">
        <v>20</v>
      </c>
      <c r="P6" s="117">
        <f>17767791.54+48159.47</f>
        <v>17815951.01</v>
      </c>
      <c r="Q6" s="119">
        <f t="shared" si="3"/>
        <v>0.000000007450580597</v>
      </c>
      <c r="R6" s="43"/>
      <c r="S6" s="43"/>
    </row>
    <row r="7" ht="15.75" customHeight="1">
      <c r="A7" s="170" t="s">
        <v>137</v>
      </c>
      <c r="B7" s="419">
        <v>35800.0</v>
      </c>
      <c r="C7" s="181">
        <v>25000.0</v>
      </c>
      <c r="D7" s="186">
        <v>27400.0</v>
      </c>
      <c r="E7" s="181">
        <v>28400.0</v>
      </c>
      <c r="F7" s="181">
        <v>28000.0</v>
      </c>
      <c r="G7" s="181">
        <v>22200.0</v>
      </c>
      <c r="H7" s="181">
        <v>31600.0</v>
      </c>
      <c r="I7" s="181">
        <v>30200.0</v>
      </c>
      <c r="J7" s="181">
        <v>21000.0</v>
      </c>
      <c r="K7" s="181">
        <v>22700.0</v>
      </c>
      <c r="L7" s="181">
        <v>23700.0</v>
      </c>
      <c r="M7" s="181">
        <v>21600.0</v>
      </c>
      <c r="N7" s="182">
        <f t="shared" si="2"/>
        <v>317600</v>
      </c>
      <c r="O7" s="183" t="s">
        <v>24</v>
      </c>
      <c r="P7" s="117">
        <f>116600+201000</f>
        <v>317600</v>
      </c>
      <c r="Q7" s="119">
        <f t="shared" si="3"/>
        <v>0</v>
      </c>
      <c r="R7" s="43"/>
      <c r="S7" s="43"/>
    </row>
    <row r="8" ht="15.75" customHeight="1">
      <c r="A8" s="418" t="s">
        <v>138</v>
      </c>
      <c r="B8" s="419">
        <v>24000.0</v>
      </c>
      <c r="C8" s="181">
        <v>28400.0</v>
      </c>
      <c r="D8" s="186">
        <v>27200.0</v>
      </c>
      <c r="E8" s="181">
        <v>24000.0</v>
      </c>
      <c r="F8" s="181">
        <v>23400.0</v>
      </c>
      <c r="G8" s="181">
        <v>26000.0</v>
      </c>
      <c r="H8" s="181">
        <v>21300.0</v>
      </c>
      <c r="I8" s="181">
        <v>23600.0</v>
      </c>
      <c r="J8" s="181">
        <v>22400.0</v>
      </c>
      <c r="K8" s="181">
        <v>20800.0</v>
      </c>
      <c r="L8" s="181">
        <v>19400.0</v>
      </c>
      <c r="M8" s="181">
        <v>22400.0</v>
      </c>
      <c r="N8" s="182">
        <f t="shared" si="2"/>
        <v>282900</v>
      </c>
      <c r="O8" s="183" t="s">
        <v>26</v>
      </c>
      <c r="P8" s="117">
        <f>103600+179300</f>
        <v>282900</v>
      </c>
      <c r="Q8" s="119">
        <f t="shared" si="3"/>
        <v>0</v>
      </c>
      <c r="R8" s="43"/>
      <c r="S8" s="43"/>
    </row>
    <row r="9" ht="15.75" customHeight="1">
      <c r="A9" s="170" t="s">
        <v>139</v>
      </c>
      <c r="B9" s="419">
        <v>0.0</v>
      </c>
      <c r="C9" s="181">
        <v>0.0</v>
      </c>
      <c r="D9" s="186">
        <v>3480.39</v>
      </c>
      <c r="E9" s="181">
        <v>0.0</v>
      </c>
      <c r="F9" s="421">
        <v>1096.94</v>
      </c>
      <c r="G9" s="181">
        <v>0.0</v>
      </c>
      <c r="H9" s="181">
        <v>0.0</v>
      </c>
      <c r="I9" s="181">
        <v>0.0</v>
      </c>
      <c r="J9" s="181">
        <v>0.0</v>
      </c>
      <c r="K9" s="181">
        <v>0.0</v>
      </c>
      <c r="L9" s="421">
        <v>12472.82</v>
      </c>
      <c r="M9" s="181">
        <v>0.0</v>
      </c>
      <c r="N9" s="182">
        <f t="shared" si="2"/>
        <v>17050.15</v>
      </c>
      <c r="O9" s="183" t="s">
        <v>28</v>
      </c>
      <c r="P9" s="117">
        <f>3480.39+13569.76</f>
        <v>17050.15</v>
      </c>
      <c r="Q9" s="119">
        <f t="shared" si="3"/>
        <v>0</v>
      </c>
      <c r="R9" s="43"/>
      <c r="S9" s="43"/>
    </row>
    <row r="10" ht="15.75" customHeight="1">
      <c r="A10" s="422" t="s">
        <v>140</v>
      </c>
      <c r="B10" s="419">
        <v>47805.1</v>
      </c>
      <c r="C10" s="181">
        <v>35390.32</v>
      </c>
      <c r="D10" s="186">
        <v>84782.58</v>
      </c>
      <c r="E10" s="181">
        <v>63968.83</v>
      </c>
      <c r="F10" s="181">
        <v>37165.54</v>
      </c>
      <c r="G10" s="181">
        <v>36763.25</v>
      </c>
      <c r="H10" s="181">
        <v>72296.21</v>
      </c>
      <c r="I10" s="181">
        <v>34881.57</v>
      </c>
      <c r="J10" s="181">
        <v>36791.38</v>
      </c>
      <c r="K10" s="181">
        <v>70656.89</v>
      </c>
      <c r="L10" s="181">
        <v>47052.26</v>
      </c>
      <c r="M10" s="181">
        <v>47052.26</v>
      </c>
      <c r="N10" s="182">
        <f t="shared" si="2"/>
        <v>614606.19</v>
      </c>
      <c r="O10" s="183" t="s">
        <v>30</v>
      </c>
      <c r="P10" s="117">
        <f>231946.83+382659.36</f>
        <v>614606.19</v>
      </c>
      <c r="Q10" s="119">
        <f t="shared" si="3"/>
        <v>0.0000000001164153218</v>
      </c>
      <c r="R10" s="43"/>
      <c r="S10" s="43"/>
    </row>
    <row r="11" ht="15.75" customHeight="1">
      <c r="A11" s="418" t="s">
        <v>379</v>
      </c>
      <c r="B11" s="419">
        <v>772366.58</v>
      </c>
      <c r="C11" s="181">
        <v>775540.39</v>
      </c>
      <c r="D11" s="186">
        <v>789762.76</v>
      </c>
      <c r="E11" s="181">
        <v>792401.87</v>
      </c>
      <c r="F11" s="181">
        <v>104576.98</v>
      </c>
      <c r="G11" s="181">
        <v>106473.51</v>
      </c>
      <c r="H11" s="181">
        <v>103682.84</v>
      </c>
      <c r="I11" s="181">
        <v>104423.28</v>
      </c>
      <c r="J11" s="181">
        <v>104974.41</v>
      </c>
      <c r="K11" s="181">
        <v>229780.28</v>
      </c>
      <c r="L11" s="181">
        <v>234835.31</v>
      </c>
      <c r="M11" s="181">
        <v>220893.44</v>
      </c>
      <c r="N11" s="182">
        <f t="shared" si="2"/>
        <v>4339711.65</v>
      </c>
      <c r="O11" s="183" t="s">
        <v>9</v>
      </c>
      <c r="P11" s="43"/>
      <c r="Q11" s="119">
        <f>-N11-P11</f>
        <v>-4339711.65</v>
      </c>
      <c r="R11" s="43"/>
      <c r="S11" s="43"/>
    </row>
    <row r="12" ht="15.75" customHeight="1">
      <c r="A12" s="422" t="s">
        <v>380</v>
      </c>
      <c r="B12" s="419">
        <v>0.0</v>
      </c>
      <c r="C12" s="419">
        <v>0.0</v>
      </c>
      <c r="D12" s="419">
        <v>0.0</v>
      </c>
      <c r="E12" s="419">
        <v>0.0</v>
      </c>
      <c r="F12" s="181">
        <v>0.0</v>
      </c>
      <c r="G12" s="181">
        <v>0.0</v>
      </c>
      <c r="H12" s="181">
        <v>0.0</v>
      </c>
      <c r="I12" s="181">
        <v>0.0</v>
      </c>
      <c r="J12" s="181">
        <v>0.0</v>
      </c>
      <c r="K12" s="181">
        <v>0.0</v>
      </c>
      <c r="L12" s="181">
        <v>0.0</v>
      </c>
      <c r="M12" s="181">
        <v>0.0</v>
      </c>
      <c r="N12" s="182">
        <f t="shared" si="2"/>
        <v>0</v>
      </c>
      <c r="O12" s="183"/>
      <c r="P12" s="43"/>
      <c r="Q12" s="43"/>
      <c r="R12" s="43"/>
      <c r="S12" s="43"/>
    </row>
    <row r="13" ht="15.75" customHeight="1">
      <c r="A13" s="170" t="s">
        <v>381</v>
      </c>
      <c r="B13" s="419">
        <v>0.0</v>
      </c>
      <c r="C13" s="181">
        <v>0.0</v>
      </c>
      <c r="D13" s="186">
        <v>0.0</v>
      </c>
      <c r="E13" s="181">
        <v>0.0</v>
      </c>
      <c r="F13" s="181">
        <v>0.0</v>
      </c>
      <c r="G13" s="181">
        <v>0.0</v>
      </c>
      <c r="H13" s="181">
        <v>0.0</v>
      </c>
      <c r="I13" s="181">
        <v>0.0</v>
      </c>
      <c r="J13" s="181">
        <v>0.0</v>
      </c>
      <c r="K13" s="181">
        <v>0.0</v>
      </c>
      <c r="L13" s="181">
        <v>0.0</v>
      </c>
      <c r="M13" s="181">
        <v>0.0</v>
      </c>
      <c r="N13" s="182">
        <f t="shared" si="2"/>
        <v>0</v>
      </c>
      <c r="O13" s="43"/>
      <c r="P13" s="43"/>
      <c r="Q13" s="43"/>
      <c r="R13" s="43"/>
      <c r="S13" s="43"/>
    </row>
    <row r="14" ht="15.75" customHeight="1">
      <c r="A14" s="170" t="s">
        <v>382</v>
      </c>
      <c r="B14" s="419">
        <v>288452.92</v>
      </c>
      <c r="C14" s="181">
        <v>290580.07</v>
      </c>
      <c r="D14" s="186">
        <f>321051.17+181810.89</f>
        <v>502862.06</v>
      </c>
      <c r="E14" s="181">
        <f>321051.17+321051.17</f>
        <v>642102.34</v>
      </c>
      <c r="F14" s="181">
        <v>357011.63</v>
      </c>
      <c r="G14" s="181">
        <v>386103.55</v>
      </c>
      <c r="H14" s="181">
        <v>385446.72</v>
      </c>
      <c r="I14" s="181">
        <v>385454.14</v>
      </c>
      <c r="J14" s="181">
        <v>385454.14</v>
      </c>
      <c r="K14" s="181">
        <v>412045.82</v>
      </c>
      <c r="L14" s="181">
        <v>394291.53</v>
      </c>
      <c r="M14" s="181">
        <v>394291.53</v>
      </c>
      <c r="N14" s="182">
        <f t="shared" si="2"/>
        <v>4824096.45</v>
      </c>
      <c r="O14" s="183" t="s">
        <v>9</v>
      </c>
      <c r="P14" s="43"/>
      <c r="Q14" s="119">
        <f t="shared" ref="Q14:Q15" si="4">-N14-P14</f>
        <v>-4824096.45</v>
      </c>
      <c r="R14" s="43"/>
      <c r="S14" s="43"/>
    </row>
    <row r="15" ht="15.75" customHeight="1">
      <c r="A15" s="170" t="s">
        <v>383</v>
      </c>
      <c r="B15" s="419">
        <v>134810.32</v>
      </c>
      <c r="C15" s="181">
        <v>134810.32</v>
      </c>
      <c r="D15" s="186">
        <v>134810.32</v>
      </c>
      <c r="E15" s="181">
        <f>134810.32+134810.32</f>
        <v>269620.64</v>
      </c>
      <c r="F15" s="181">
        <v>138294.53</v>
      </c>
      <c r="G15" s="181">
        <v>109202.61</v>
      </c>
      <c r="H15" s="181">
        <v>109202.61</v>
      </c>
      <c r="I15" s="181">
        <v>109202.61</v>
      </c>
      <c r="J15" s="181">
        <v>109202.61</v>
      </c>
      <c r="K15" s="181">
        <v>122346.2</v>
      </c>
      <c r="L15" s="181">
        <v>113570.7</v>
      </c>
      <c r="M15" s="181">
        <v>113570.7</v>
      </c>
      <c r="N15" s="182">
        <f t="shared" si="2"/>
        <v>1598644.17</v>
      </c>
      <c r="O15" s="183" t="s">
        <v>9</v>
      </c>
      <c r="P15" s="43"/>
      <c r="Q15" s="119">
        <f t="shared" si="4"/>
        <v>-1598644.17</v>
      </c>
      <c r="R15" s="43"/>
      <c r="S15" s="43"/>
    </row>
    <row r="16" ht="15.75" customHeight="1">
      <c r="A16" s="170"/>
      <c r="B16" s="419"/>
      <c r="C16" s="181"/>
      <c r="D16" s="186"/>
      <c r="E16" s="181"/>
      <c r="F16" s="181"/>
      <c r="G16" s="181"/>
      <c r="H16" s="181"/>
      <c r="I16" s="181"/>
      <c r="J16" s="181"/>
      <c r="K16" s="181"/>
      <c r="L16" s="181"/>
      <c r="M16" s="181"/>
      <c r="N16" s="182">
        <f t="shared" si="2"/>
        <v>0</v>
      </c>
      <c r="O16" s="120"/>
      <c r="P16" s="120"/>
      <c r="Q16" s="120"/>
      <c r="R16" s="43"/>
      <c r="S16" s="43"/>
    </row>
    <row r="17" ht="15.75" customHeight="1">
      <c r="A17" s="198" t="s">
        <v>141</v>
      </c>
      <c r="B17" s="199">
        <f t="shared" ref="B17:M17" si="5">SUM(B3:B10)-SUM(B11:B16)</f>
        <v>17434080.4</v>
      </c>
      <c r="C17" s="199">
        <f t="shared" si="5"/>
        <v>17390483.15</v>
      </c>
      <c r="D17" s="199">
        <f t="shared" si="5"/>
        <v>17235542.73</v>
      </c>
      <c r="E17" s="199">
        <f t="shared" si="5"/>
        <v>35017415.03</v>
      </c>
      <c r="F17" s="199">
        <f t="shared" si="5"/>
        <v>18446269.72</v>
      </c>
      <c r="G17" s="199">
        <f t="shared" si="5"/>
        <v>18451681.35</v>
      </c>
      <c r="H17" s="199">
        <f t="shared" si="5"/>
        <v>18476016.24</v>
      </c>
      <c r="I17" s="199">
        <f t="shared" si="5"/>
        <v>18417160.84</v>
      </c>
      <c r="J17" s="199">
        <f t="shared" si="5"/>
        <v>18348581.97</v>
      </c>
      <c r="K17" s="199">
        <f t="shared" si="5"/>
        <v>20920117.49</v>
      </c>
      <c r="L17" s="199">
        <f t="shared" si="5"/>
        <v>21200060.85</v>
      </c>
      <c r="M17" s="199">
        <f t="shared" si="5"/>
        <v>20206856.5</v>
      </c>
      <c r="N17" s="199">
        <f t="shared" si="2"/>
        <v>241544266.3</v>
      </c>
      <c r="O17" s="76"/>
      <c r="P17" s="118">
        <f t="shared" ref="P17:Q17" si="6">SUM(P3:P15)</f>
        <v>241544266.3</v>
      </c>
      <c r="Q17" s="118">
        <f t="shared" si="6"/>
        <v>0.00000004819594324</v>
      </c>
      <c r="R17" s="76"/>
      <c r="S17" s="76"/>
    </row>
    <row r="18" ht="15.75" customHeight="1">
      <c r="A18" s="423" t="s">
        <v>384</v>
      </c>
      <c r="B18" s="424">
        <v>1.74340804E7</v>
      </c>
      <c r="C18" s="425">
        <v>1.739048315E7</v>
      </c>
      <c r="D18" s="425">
        <v>1.723554273E7</v>
      </c>
      <c r="E18" s="202">
        <v>3.501741503E7</v>
      </c>
      <c r="F18" s="202">
        <v>1.844626972E7</v>
      </c>
      <c r="G18" s="202">
        <v>1.845168135E7</v>
      </c>
      <c r="H18" s="202">
        <v>1.847601624E7</v>
      </c>
      <c r="I18" s="202">
        <v>1.841716084E7</v>
      </c>
      <c r="J18" s="202">
        <v>1.834858197E7</v>
      </c>
      <c r="K18" s="202">
        <v>2.092011749E7</v>
      </c>
      <c r="L18" s="202">
        <v>2.120006105E7</v>
      </c>
      <c r="M18" s="202">
        <v>2.02068563E7</v>
      </c>
      <c r="N18" s="205">
        <f t="shared" si="2"/>
        <v>241544266.3</v>
      </c>
      <c r="O18" s="43"/>
      <c r="P18" s="43"/>
      <c r="Q18" s="43"/>
      <c r="R18" s="43"/>
      <c r="S18" s="43"/>
    </row>
    <row r="19" ht="15.75" customHeight="1">
      <c r="A19" s="198" t="s">
        <v>143</v>
      </c>
      <c r="B19" s="199">
        <f t="shared" ref="B19:M19" si="7">B17-B18</f>
        <v>0</v>
      </c>
      <c r="C19" s="199">
        <f t="shared" si="7"/>
        <v>0</v>
      </c>
      <c r="D19" s="199">
        <f t="shared" si="7"/>
        <v>-0.000000003725290298</v>
      </c>
      <c r="E19" s="199">
        <f t="shared" si="7"/>
        <v>-0.000000007450580597</v>
      </c>
      <c r="F19" s="199">
        <f t="shared" si="7"/>
        <v>0.000000003725290298</v>
      </c>
      <c r="G19" s="199">
        <f t="shared" si="7"/>
        <v>-0.000000003725290298</v>
      </c>
      <c r="H19" s="199">
        <f t="shared" si="7"/>
        <v>0.000000003725290298</v>
      </c>
      <c r="I19" s="199">
        <f t="shared" si="7"/>
        <v>-0.000000003725290298</v>
      </c>
      <c r="J19" s="199">
        <f t="shared" si="7"/>
        <v>0.000000003725290298</v>
      </c>
      <c r="K19" s="199">
        <f t="shared" si="7"/>
        <v>0.000000003725290298</v>
      </c>
      <c r="L19" s="199">
        <f t="shared" si="7"/>
        <v>-0.1999999993</v>
      </c>
      <c r="M19" s="199">
        <f t="shared" si="7"/>
        <v>0.1999999993</v>
      </c>
      <c r="N19" s="199">
        <f t="shared" si="2"/>
        <v>-0.000000003725290298</v>
      </c>
      <c r="O19" s="76"/>
      <c r="P19" s="76"/>
      <c r="Q19" s="76"/>
      <c r="R19" s="76"/>
      <c r="S19" s="76"/>
    </row>
    <row r="20" ht="15.75" customHeight="1">
      <c r="A20" s="43"/>
      <c r="B20" s="43"/>
      <c r="C20" s="43"/>
      <c r="D20" s="43"/>
      <c r="E20" s="43"/>
      <c r="F20" s="43"/>
      <c r="G20" s="43"/>
      <c r="H20" s="43"/>
      <c r="I20" s="119"/>
      <c r="J20" s="119"/>
      <c r="K20" s="119"/>
      <c r="L20" s="119"/>
      <c r="M20" s="119"/>
      <c r="N20" s="119"/>
      <c r="O20" s="43"/>
      <c r="P20" s="43"/>
      <c r="Q20" s="43"/>
      <c r="R20" s="43"/>
      <c r="S20" s="43"/>
    </row>
    <row r="21" ht="15.75" customHeight="1">
      <c r="A21" s="426" t="s">
        <v>144</v>
      </c>
      <c r="B21" s="178">
        <f t="shared" ref="B21:M21" si="8">B2</f>
        <v>43344</v>
      </c>
      <c r="C21" s="178">
        <f t="shared" si="8"/>
        <v>43375</v>
      </c>
      <c r="D21" s="178">
        <f t="shared" si="8"/>
        <v>43406</v>
      </c>
      <c r="E21" s="178">
        <f t="shared" si="8"/>
        <v>43437</v>
      </c>
      <c r="F21" s="178">
        <f t="shared" si="8"/>
        <v>43468</v>
      </c>
      <c r="G21" s="178">
        <f t="shared" si="8"/>
        <v>43499</v>
      </c>
      <c r="H21" s="178">
        <f t="shared" si="8"/>
        <v>43530</v>
      </c>
      <c r="I21" s="178">
        <f t="shared" si="8"/>
        <v>43561</v>
      </c>
      <c r="J21" s="178">
        <f t="shared" si="8"/>
        <v>43592</v>
      </c>
      <c r="K21" s="178">
        <f t="shared" si="8"/>
        <v>43623</v>
      </c>
      <c r="L21" s="178">
        <f t="shared" si="8"/>
        <v>43654</v>
      </c>
      <c r="M21" s="178">
        <f t="shared" si="8"/>
        <v>43685</v>
      </c>
      <c r="N21" s="179" t="s">
        <v>125</v>
      </c>
      <c r="O21" s="43"/>
      <c r="P21" s="43"/>
      <c r="Q21" s="43"/>
      <c r="R21" s="43"/>
      <c r="S21" s="43"/>
    </row>
    <row r="22" ht="15.75" customHeight="1">
      <c r="A22" s="427" t="s">
        <v>385</v>
      </c>
      <c r="B22" s="210">
        <v>4610166.72</v>
      </c>
      <c r="C22" s="210">
        <v>4613766.01</v>
      </c>
      <c r="D22" s="210">
        <v>4610910.62</v>
      </c>
      <c r="E22" s="210">
        <v>9326373.69</v>
      </c>
      <c r="F22" s="210">
        <v>4914358.14</v>
      </c>
      <c r="G22" s="210">
        <v>4914358.14</v>
      </c>
      <c r="H22" s="210">
        <v>4906654.12</v>
      </c>
      <c r="I22" s="210">
        <v>4905214.55</v>
      </c>
      <c r="J22" s="210">
        <v>4887996.8</v>
      </c>
      <c r="K22" s="210">
        <v>5564934.79</v>
      </c>
      <c r="L22" s="210">
        <v>5231190.38</v>
      </c>
      <c r="M22" s="210">
        <v>5210430.0</v>
      </c>
      <c r="N22" s="211">
        <f t="shared" ref="N22:N28" si="9">SUM(B22:M22)</f>
        <v>63696353.96</v>
      </c>
      <c r="O22" s="183" t="s">
        <v>34</v>
      </c>
      <c r="P22" s="117">
        <f>23161217.04+
40535136.92</f>
        <v>63696353.96</v>
      </c>
      <c r="Q22" s="119">
        <f t="shared" ref="Q22:Q23" si="10">N22-P22</f>
        <v>-0.000000007450580597</v>
      </c>
      <c r="R22" s="43"/>
      <c r="S22" s="43"/>
    </row>
    <row r="23" ht="15.75" customHeight="1">
      <c r="A23" s="427" t="s">
        <v>386</v>
      </c>
      <c r="B23" s="210">
        <v>147931.03</v>
      </c>
      <c r="C23" s="210">
        <v>149650.88</v>
      </c>
      <c r="D23" s="210">
        <v>146703.99</v>
      </c>
      <c r="E23" s="210">
        <v>301765.81</v>
      </c>
      <c r="F23" s="210">
        <v>149635.67</v>
      </c>
      <c r="G23" s="210">
        <v>153213.08</v>
      </c>
      <c r="H23" s="210">
        <v>150933.82</v>
      </c>
      <c r="I23" s="210">
        <v>153073.16</v>
      </c>
      <c r="J23" s="210">
        <v>151055.08</v>
      </c>
      <c r="K23" s="210">
        <v>175754.9</v>
      </c>
      <c r="L23" s="210">
        <v>156319.13</v>
      </c>
      <c r="M23" s="210">
        <v>156912.14</v>
      </c>
      <c r="N23" s="211">
        <f t="shared" si="9"/>
        <v>1992948.69</v>
      </c>
      <c r="O23" s="183" t="s">
        <v>36</v>
      </c>
      <c r="P23" s="117">
        <f>746051.71+1246896.98</f>
        <v>1992948.69</v>
      </c>
      <c r="Q23" s="119">
        <f t="shared" si="10"/>
        <v>0</v>
      </c>
      <c r="R23" s="43"/>
      <c r="S23" s="43"/>
    </row>
    <row r="24" ht="15.75" customHeight="1">
      <c r="A24" s="198" t="s">
        <v>147</v>
      </c>
      <c r="B24" s="199">
        <f t="shared" ref="B24:M24" si="11">SUM(B22:B23)</f>
        <v>4758097.75</v>
      </c>
      <c r="C24" s="199">
        <f t="shared" si="11"/>
        <v>4763416.89</v>
      </c>
      <c r="D24" s="199">
        <f t="shared" si="11"/>
        <v>4757614.61</v>
      </c>
      <c r="E24" s="199">
        <f t="shared" si="11"/>
        <v>9628139.5</v>
      </c>
      <c r="F24" s="199">
        <f t="shared" si="11"/>
        <v>5063993.81</v>
      </c>
      <c r="G24" s="199">
        <f t="shared" si="11"/>
        <v>5067571.22</v>
      </c>
      <c r="H24" s="199">
        <f t="shared" si="11"/>
        <v>5057587.94</v>
      </c>
      <c r="I24" s="199">
        <f t="shared" si="11"/>
        <v>5058287.71</v>
      </c>
      <c r="J24" s="199">
        <f t="shared" si="11"/>
        <v>5039051.88</v>
      </c>
      <c r="K24" s="199">
        <f t="shared" si="11"/>
        <v>5740689.69</v>
      </c>
      <c r="L24" s="199">
        <f t="shared" si="11"/>
        <v>5387509.51</v>
      </c>
      <c r="M24" s="199">
        <f t="shared" si="11"/>
        <v>5367342.14</v>
      </c>
      <c r="N24" s="199">
        <f t="shared" si="9"/>
        <v>65689302.65</v>
      </c>
      <c r="O24" s="183"/>
      <c r="P24" s="76"/>
      <c r="Q24" s="76"/>
      <c r="R24" s="76"/>
      <c r="S24" s="76"/>
    </row>
    <row r="25" ht="15.75" customHeight="1">
      <c r="A25" s="171" t="s">
        <v>387</v>
      </c>
      <c r="B25" s="186">
        <f>80035.01+36398.75</f>
        <v>116433.76</v>
      </c>
      <c r="C25" s="181">
        <f>80609.34+36398.75</f>
        <v>117008.09</v>
      </c>
      <c r="D25" s="186">
        <f>88836.53+49088.9+36398.75</f>
        <v>174324.18</v>
      </c>
      <c r="E25" s="181">
        <f>88836.53+88836.53+36398.75+36398.75</f>
        <v>250470.56</v>
      </c>
      <c r="F25" s="210"/>
      <c r="G25" s="210"/>
      <c r="H25" s="210"/>
      <c r="I25" s="210"/>
      <c r="J25" s="210"/>
      <c r="K25" s="210"/>
      <c r="L25" s="210"/>
      <c r="M25" s="210"/>
      <c r="N25" s="199">
        <f t="shared" si="9"/>
        <v>658236.59</v>
      </c>
      <c r="O25" s="183" t="s">
        <v>388</v>
      </c>
      <c r="P25" s="117">
        <v>658236.59</v>
      </c>
      <c r="Q25" s="119">
        <f t="shared" ref="Q25:Q26" si="12">N25-P25</f>
        <v>0</v>
      </c>
      <c r="R25" s="43"/>
      <c r="S25" s="43"/>
    </row>
    <row r="26" ht="15.75" customHeight="1">
      <c r="A26" s="43" t="s">
        <v>389</v>
      </c>
      <c r="B26" s="210">
        <v>0.0</v>
      </c>
      <c r="C26" s="210">
        <v>0.0</v>
      </c>
      <c r="D26" s="210">
        <v>0.0</v>
      </c>
      <c r="E26" s="210">
        <v>0.0</v>
      </c>
      <c r="F26" s="210">
        <v>143475.0</v>
      </c>
      <c r="G26" s="210">
        <v>127765.38</v>
      </c>
      <c r="H26" s="210">
        <v>135760.96</v>
      </c>
      <c r="I26" s="210">
        <v>135947.15</v>
      </c>
      <c r="J26" s="210">
        <v>135947.15</v>
      </c>
      <c r="K26" s="210">
        <v>146940.84</v>
      </c>
      <c r="L26" s="210">
        <v>139777.71</v>
      </c>
      <c r="M26" s="210">
        <v>139777.81</v>
      </c>
      <c r="N26" s="199">
        <f t="shared" si="9"/>
        <v>1105392</v>
      </c>
      <c r="O26" s="183" t="s">
        <v>38</v>
      </c>
      <c r="P26" s="117">
        <v>1105392.0</v>
      </c>
      <c r="Q26" s="119">
        <f t="shared" si="12"/>
        <v>0</v>
      </c>
      <c r="R26" s="43"/>
      <c r="S26" s="43"/>
    </row>
    <row r="27" ht="15.75" customHeight="1">
      <c r="A27" s="198" t="s">
        <v>149</v>
      </c>
      <c r="B27" s="210">
        <f t="shared" ref="B27:M27" si="13">B24-B25-B26</f>
        <v>4641663.99</v>
      </c>
      <c r="C27" s="210">
        <f t="shared" si="13"/>
        <v>4646408.8</v>
      </c>
      <c r="D27" s="210">
        <f t="shared" si="13"/>
        <v>4583290.43</v>
      </c>
      <c r="E27" s="210">
        <f t="shared" si="13"/>
        <v>9377668.94</v>
      </c>
      <c r="F27" s="210">
        <f t="shared" si="13"/>
        <v>4920518.81</v>
      </c>
      <c r="G27" s="210">
        <f t="shared" si="13"/>
        <v>4939805.84</v>
      </c>
      <c r="H27" s="210">
        <f t="shared" si="13"/>
        <v>4921826.98</v>
      </c>
      <c r="I27" s="210">
        <f t="shared" si="13"/>
        <v>4922340.56</v>
      </c>
      <c r="J27" s="210">
        <f t="shared" si="13"/>
        <v>4903104.73</v>
      </c>
      <c r="K27" s="210">
        <f t="shared" si="13"/>
        <v>5593748.85</v>
      </c>
      <c r="L27" s="210">
        <f t="shared" si="13"/>
        <v>5247731.8</v>
      </c>
      <c r="M27" s="210">
        <f t="shared" si="13"/>
        <v>5227564.33</v>
      </c>
      <c r="N27" s="199">
        <f t="shared" si="9"/>
        <v>63925674.06</v>
      </c>
      <c r="O27" s="183"/>
      <c r="P27" s="43"/>
      <c r="Q27" s="43"/>
      <c r="R27" s="43"/>
      <c r="S27" s="43"/>
    </row>
    <row r="28" ht="15.75" customHeight="1">
      <c r="A28" s="428" t="s">
        <v>384</v>
      </c>
      <c r="B28" s="223">
        <v>4641663.99</v>
      </c>
      <c r="C28" s="223">
        <v>4646408.8</v>
      </c>
      <c r="D28" s="223">
        <v>4583290.43</v>
      </c>
      <c r="E28" s="223">
        <v>9377668.94</v>
      </c>
      <c r="F28" s="223">
        <v>4920518.81</v>
      </c>
      <c r="G28" s="223">
        <v>4939805.84</v>
      </c>
      <c r="H28" s="223">
        <v>4921826.98</v>
      </c>
      <c r="I28" s="223">
        <v>4922340.56</v>
      </c>
      <c r="J28" s="223">
        <v>4903104.73</v>
      </c>
      <c r="K28" s="223">
        <v>5593748.85</v>
      </c>
      <c r="L28" s="223">
        <v>5247731.8</v>
      </c>
      <c r="M28" s="223">
        <v>5227564.33</v>
      </c>
      <c r="N28" s="224">
        <f t="shared" si="9"/>
        <v>63925674.06</v>
      </c>
      <c r="O28" s="43"/>
      <c r="P28" s="117"/>
      <c r="Q28" s="43"/>
      <c r="R28" s="43"/>
      <c r="S28" s="43"/>
    </row>
    <row r="29" ht="15.75" customHeight="1">
      <c r="A29" s="225" t="s">
        <v>143</v>
      </c>
      <c r="B29" s="199">
        <f t="shared" ref="B29:M29" si="14">B27-B28</f>
        <v>0</v>
      </c>
      <c r="C29" s="199">
        <f t="shared" si="14"/>
        <v>0</v>
      </c>
      <c r="D29" s="199">
        <f t="shared" si="14"/>
        <v>0.0000000009313225746</v>
      </c>
      <c r="E29" s="199">
        <f t="shared" si="14"/>
        <v>0</v>
      </c>
      <c r="F29" s="199">
        <f t="shared" si="14"/>
        <v>0</v>
      </c>
      <c r="G29" s="199">
        <f t="shared" si="14"/>
        <v>0</v>
      </c>
      <c r="H29" s="199">
        <f t="shared" si="14"/>
        <v>0</v>
      </c>
      <c r="I29" s="199">
        <f t="shared" si="14"/>
        <v>0</v>
      </c>
      <c r="J29" s="199">
        <f t="shared" si="14"/>
        <v>-0.0000000009313225746</v>
      </c>
      <c r="K29" s="199">
        <f t="shared" si="14"/>
        <v>0.0000000009313225746</v>
      </c>
      <c r="L29" s="199">
        <f t="shared" si="14"/>
        <v>0</v>
      </c>
      <c r="M29" s="199">
        <f t="shared" si="14"/>
        <v>0</v>
      </c>
      <c r="N29" s="200">
        <f>N24-N28</f>
        <v>1763628.59</v>
      </c>
      <c r="O29" s="76"/>
      <c r="P29" s="206"/>
      <c r="Q29" s="76"/>
      <c r="R29" s="76"/>
      <c r="S29" s="76"/>
    </row>
    <row r="30" ht="15.75" customHeight="1">
      <c r="A30" s="43"/>
      <c r="B30" s="43"/>
      <c r="C30" s="43"/>
      <c r="D30" s="43"/>
      <c r="E30" s="43"/>
      <c r="F30" s="119"/>
      <c r="G30" s="119"/>
      <c r="H30" s="43"/>
      <c r="I30" s="43"/>
      <c r="J30" s="43"/>
      <c r="K30" s="43"/>
      <c r="L30" s="43"/>
      <c r="M30" s="43"/>
      <c r="N30" s="43"/>
      <c r="O30" s="43"/>
      <c r="P30" s="117"/>
      <c r="Q30" s="43"/>
      <c r="R30" s="43"/>
      <c r="S30" s="43"/>
    </row>
    <row r="31" ht="15.75" customHeight="1">
      <c r="A31" s="227" t="s">
        <v>150</v>
      </c>
      <c r="B31" s="228">
        <f t="shared" ref="B31:M31" si="15">B2</f>
        <v>43344</v>
      </c>
      <c r="C31" s="228">
        <f t="shared" si="15"/>
        <v>43375</v>
      </c>
      <c r="D31" s="228">
        <f t="shared" si="15"/>
        <v>43406</v>
      </c>
      <c r="E31" s="228">
        <f t="shared" si="15"/>
        <v>43437</v>
      </c>
      <c r="F31" s="228">
        <f t="shared" si="15"/>
        <v>43468</v>
      </c>
      <c r="G31" s="228">
        <f t="shared" si="15"/>
        <v>43499</v>
      </c>
      <c r="H31" s="228">
        <f t="shared" si="15"/>
        <v>43530</v>
      </c>
      <c r="I31" s="228">
        <f t="shared" si="15"/>
        <v>43561</v>
      </c>
      <c r="J31" s="228">
        <f t="shared" si="15"/>
        <v>43592</v>
      </c>
      <c r="K31" s="228">
        <f t="shared" si="15"/>
        <v>43623</v>
      </c>
      <c r="L31" s="228">
        <f t="shared" si="15"/>
        <v>43654</v>
      </c>
      <c r="M31" s="228">
        <f t="shared" si="15"/>
        <v>43685</v>
      </c>
      <c r="N31" s="229" t="s">
        <v>125</v>
      </c>
      <c r="O31" s="76"/>
      <c r="P31" s="76"/>
      <c r="Q31" s="76"/>
      <c r="R31" s="76"/>
      <c r="S31" s="76"/>
    </row>
    <row r="32" ht="28.5" customHeight="1">
      <c r="A32" s="429" t="s">
        <v>133</v>
      </c>
      <c r="B32" s="430">
        <v>263051.63</v>
      </c>
      <c r="C32" s="430">
        <v>267576.57</v>
      </c>
      <c r="D32" s="430">
        <v>267302.34</v>
      </c>
      <c r="E32" s="210">
        <v>522552.51</v>
      </c>
      <c r="F32" s="210">
        <f t="shared" ref="F32:G32" si="16">250320.4+26279.8+7981.5+3118.81</f>
        <v>287700.51</v>
      </c>
      <c r="G32" s="210">
        <f t="shared" si="16"/>
        <v>287700.51</v>
      </c>
      <c r="H32" s="210">
        <f>253670.36+26279.8+7981.5+3118.81</f>
        <v>291050.47</v>
      </c>
      <c r="I32" s="210">
        <f>259480.37+35047.54+7981.5+3118.81</f>
        <v>305628.22</v>
      </c>
      <c r="J32" s="210">
        <v>307243.83</v>
      </c>
      <c r="K32" s="210">
        <v>333957.41</v>
      </c>
      <c r="L32" s="210">
        <v>338451.53</v>
      </c>
      <c r="M32" s="210">
        <v>322397.62</v>
      </c>
      <c r="N32" s="211">
        <f t="shared" ref="N32:N40" si="17">SUM(B32:M32)</f>
        <v>3794613.15</v>
      </c>
      <c r="O32" s="183" t="s">
        <v>12</v>
      </c>
      <c r="P32" s="117">
        <f>1320483.05+2474130.1</f>
        <v>3794613.15</v>
      </c>
      <c r="Q32" s="119">
        <f t="shared" ref="Q32:Q35" si="18">N32-P32</f>
        <v>0</v>
      </c>
      <c r="R32" s="43"/>
      <c r="S32" s="43"/>
    </row>
    <row r="33" ht="30.0" customHeight="1">
      <c r="A33" s="429" t="s">
        <v>151</v>
      </c>
      <c r="B33" s="430">
        <v>294883.36</v>
      </c>
      <c r="C33" s="430">
        <v>178505.4</v>
      </c>
      <c r="D33" s="430">
        <v>165327.58</v>
      </c>
      <c r="E33" s="210">
        <v>137117.77</v>
      </c>
      <c r="F33" s="210">
        <f>2596954.62+337766.69+40304.27+11798.43-10157.03-10157.03-40651.79-14925.39</f>
        <v>2910932.77</v>
      </c>
      <c r="G33" s="210">
        <v>242241.05</v>
      </c>
      <c r="H33" s="210">
        <v>262304.01</v>
      </c>
      <c r="I33" s="210">
        <v>223642.06</v>
      </c>
      <c r="J33" s="210">
        <v>436105.19</v>
      </c>
      <c r="K33" s="431">
        <v>403837.44</v>
      </c>
      <c r="L33" s="431">
        <v>921656.27</v>
      </c>
      <c r="M33" s="431">
        <f>143735.35-41880.62</f>
        <v>101854.73</v>
      </c>
      <c r="N33" s="211">
        <f t="shared" si="17"/>
        <v>6278407.63</v>
      </c>
      <c r="O33" s="183" t="s">
        <v>22</v>
      </c>
      <c r="P33" s="117">
        <v>5462569.11</v>
      </c>
      <c r="Q33" s="119">
        <f t="shared" si="18"/>
        <v>815838.52</v>
      </c>
      <c r="R33" s="43"/>
      <c r="S33" s="43"/>
    </row>
    <row r="34" ht="25.5" customHeight="1">
      <c r="A34" s="429" t="s">
        <v>152</v>
      </c>
      <c r="B34" s="430"/>
      <c r="C34" s="430"/>
      <c r="D34" s="430"/>
      <c r="E34" s="210"/>
      <c r="F34" s="210"/>
      <c r="G34" s="210"/>
      <c r="H34" s="210"/>
      <c r="I34" s="210"/>
      <c r="J34" s="210"/>
      <c r="K34" s="431"/>
      <c r="L34" s="431"/>
      <c r="M34" s="431"/>
      <c r="N34" s="211">
        <f t="shared" si="17"/>
        <v>0</v>
      </c>
      <c r="O34" s="183" t="s">
        <v>22</v>
      </c>
      <c r="P34" s="43"/>
      <c r="Q34" s="119">
        <f t="shared" si="18"/>
        <v>0</v>
      </c>
      <c r="R34" s="43"/>
      <c r="S34" s="43"/>
    </row>
    <row r="35" ht="27.0" customHeight="1">
      <c r="A35" s="429" t="s">
        <v>153</v>
      </c>
      <c r="B35" s="430"/>
      <c r="C35" s="430"/>
      <c r="D35" s="430"/>
      <c r="E35" s="210"/>
      <c r="F35" s="210"/>
      <c r="G35" s="210"/>
      <c r="H35" s="210"/>
      <c r="I35" s="210"/>
      <c r="J35" s="210"/>
      <c r="K35" s="431">
        <v>421.81</v>
      </c>
      <c r="L35" s="431"/>
      <c r="M35" s="431"/>
      <c r="N35" s="211">
        <f t="shared" si="17"/>
        <v>421.81</v>
      </c>
      <c r="O35" s="195" t="s">
        <v>22</v>
      </c>
      <c r="P35" s="43"/>
      <c r="Q35" s="119">
        <f t="shared" si="18"/>
        <v>421.81</v>
      </c>
      <c r="R35" s="43"/>
      <c r="S35" s="43"/>
    </row>
    <row r="36" ht="15.75" customHeight="1">
      <c r="A36" s="179" t="s">
        <v>154</v>
      </c>
      <c r="B36" s="236">
        <f t="shared" ref="B36:M36" si="19">B32+B33-B34-B35</f>
        <v>557934.99</v>
      </c>
      <c r="C36" s="236">
        <f t="shared" si="19"/>
        <v>446081.97</v>
      </c>
      <c r="D36" s="236">
        <f t="shared" si="19"/>
        <v>432629.92</v>
      </c>
      <c r="E36" s="236">
        <f t="shared" si="19"/>
        <v>659670.28</v>
      </c>
      <c r="F36" s="236">
        <f t="shared" si="19"/>
        <v>3198633.28</v>
      </c>
      <c r="G36" s="236">
        <f t="shared" si="19"/>
        <v>529941.56</v>
      </c>
      <c r="H36" s="236">
        <f t="shared" si="19"/>
        <v>553354.48</v>
      </c>
      <c r="I36" s="236">
        <f t="shared" si="19"/>
        <v>529270.28</v>
      </c>
      <c r="J36" s="236">
        <f t="shared" si="19"/>
        <v>743349.02</v>
      </c>
      <c r="K36" s="236">
        <f t="shared" si="19"/>
        <v>737373.04</v>
      </c>
      <c r="L36" s="236">
        <f t="shared" si="19"/>
        <v>1260107.8</v>
      </c>
      <c r="M36" s="236">
        <f t="shared" si="19"/>
        <v>424252.35</v>
      </c>
      <c r="N36" s="237">
        <f t="shared" si="17"/>
        <v>10072598.97</v>
      </c>
      <c r="O36" s="250"/>
      <c r="P36" s="431">
        <f>-403837.44</f>
        <v>-403837.44</v>
      </c>
      <c r="Q36" s="431">
        <v>-921656.27</v>
      </c>
      <c r="R36" s="431">
        <v>-101854.73</v>
      </c>
      <c r="S36" s="76"/>
    </row>
    <row r="37" ht="15.75" customHeight="1">
      <c r="A37" s="43" t="s">
        <v>155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>
        <v>333957.41</v>
      </c>
      <c r="L37" s="210"/>
      <c r="M37" s="210"/>
      <c r="N37" s="216">
        <f t="shared" si="17"/>
        <v>333957.41</v>
      </c>
      <c r="O37" s="43"/>
      <c r="P37" s="43"/>
      <c r="Q37" s="43"/>
      <c r="R37" s="43"/>
      <c r="S37" s="43"/>
    </row>
    <row r="38" ht="15.75" customHeight="1">
      <c r="A38" s="432" t="s">
        <v>143</v>
      </c>
      <c r="B38" s="239">
        <f t="shared" ref="B38:M38" si="20">B32-B37</f>
        <v>263051.63</v>
      </c>
      <c r="C38" s="239">
        <f t="shared" si="20"/>
        <v>267576.57</v>
      </c>
      <c r="D38" s="239">
        <f t="shared" si="20"/>
        <v>267302.34</v>
      </c>
      <c r="E38" s="239">
        <f t="shared" si="20"/>
        <v>522552.51</v>
      </c>
      <c r="F38" s="239">
        <f t="shared" si="20"/>
        <v>287700.51</v>
      </c>
      <c r="G38" s="239">
        <f t="shared" si="20"/>
        <v>287700.51</v>
      </c>
      <c r="H38" s="239">
        <f t="shared" si="20"/>
        <v>291050.47</v>
      </c>
      <c r="I38" s="239">
        <f t="shared" si="20"/>
        <v>305628.22</v>
      </c>
      <c r="J38" s="239">
        <f t="shared" si="20"/>
        <v>307243.83</v>
      </c>
      <c r="K38" s="239">
        <f t="shared" si="20"/>
        <v>0</v>
      </c>
      <c r="L38" s="239">
        <f t="shared" si="20"/>
        <v>338451.53</v>
      </c>
      <c r="M38" s="239">
        <f t="shared" si="20"/>
        <v>322397.62</v>
      </c>
      <c r="N38" s="199">
        <f t="shared" si="17"/>
        <v>3460655.74</v>
      </c>
      <c r="O38" s="220"/>
      <c r="P38" s="220"/>
      <c r="Q38" s="220"/>
      <c r="R38" s="220"/>
      <c r="S38" s="220"/>
    </row>
    <row r="39" ht="15.75" customHeight="1">
      <c r="A39" s="120" t="s">
        <v>156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>
        <v>390337.76</v>
      </c>
      <c r="L39" s="210"/>
      <c r="M39" s="210"/>
      <c r="N39" s="216">
        <f t="shared" si="17"/>
        <v>390337.76</v>
      </c>
      <c r="O39" s="43"/>
      <c r="P39" s="119">
        <f>K33-K39</f>
        <v>13499.68</v>
      </c>
      <c r="Q39" s="43"/>
      <c r="R39" s="43"/>
      <c r="S39" s="43"/>
    </row>
    <row r="40" ht="15.75" customHeight="1">
      <c r="A40" s="225" t="s">
        <v>143</v>
      </c>
      <c r="B40" s="199">
        <f t="shared" ref="B40:M40" si="21">B33-B34-B35-B39</f>
        <v>294883.36</v>
      </c>
      <c r="C40" s="199">
        <f t="shared" si="21"/>
        <v>178505.4</v>
      </c>
      <c r="D40" s="199">
        <f t="shared" si="21"/>
        <v>165327.58</v>
      </c>
      <c r="E40" s="199">
        <f t="shared" si="21"/>
        <v>137117.77</v>
      </c>
      <c r="F40" s="199">
        <f t="shared" si="21"/>
        <v>2910932.77</v>
      </c>
      <c r="G40" s="199">
        <f t="shared" si="21"/>
        <v>242241.05</v>
      </c>
      <c r="H40" s="199">
        <f t="shared" si="21"/>
        <v>262304.01</v>
      </c>
      <c r="I40" s="199">
        <f t="shared" si="21"/>
        <v>223642.06</v>
      </c>
      <c r="J40" s="199">
        <f t="shared" si="21"/>
        <v>436105.19</v>
      </c>
      <c r="K40" s="199">
        <f t="shared" si="21"/>
        <v>13077.87</v>
      </c>
      <c r="L40" s="199">
        <f t="shared" si="21"/>
        <v>921656.27</v>
      </c>
      <c r="M40" s="199">
        <f t="shared" si="21"/>
        <v>101854.73</v>
      </c>
      <c r="N40" s="199">
        <f t="shared" si="17"/>
        <v>5887648.06</v>
      </c>
      <c r="O40" s="43"/>
      <c r="P40" s="43"/>
      <c r="Q40" s="43"/>
      <c r="R40" s="43"/>
      <c r="S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 t="s">
        <v>390</v>
      </c>
      <c r="P41" s="117">
        <f t="shared" ref="P41:R41" si="22">SUM(P33:P36)</f>
        <v>5058731.67</v>
      </c>
      <c r="Q41" s="119">
        <f t="shared" si="22"/>
        <v>-105395.94</v>
      </c>
      <c r="R41" s="43">
        <f t="shared" si="22"/>
        <v>-101854.73</v>
      </c>
      <c r="S41" s="43"/>
    </row>
    <row r="42" ht="15.75" customHeight="1">
      <c r="A42" s="241" t="s">
        <v>157</v>
      </c>
      <c r="B42" s="178">
        <f t="shared" ref="B42:M42" si="23">B2</f>
        <v>43344</v>
      </c>
      <c r="C42" s="178">
        <f t="shared" si="23"/>
        <v>43375</v>
      </c>
      <c r="D42" s="178">
        <f t="shared" si="23"/>
        <v>43406</v>
      </c>
      <c r="E42" s="178">
        <f t="shared" si="23"/>
        <v>43437</v>
      </c>
      <c r="F42" s="178">
        <f t="shared" si="23"/>
        <v>43468</v>
      </c>
      <c r="G42" s="178">
        <f t="shared" si="23"/>
        <v>43499</v>
      </c>
      <c r="H42" s="178">
        <f t="shared" si="23"/>
        <v>43530</v>
      </c>
      <c r="I42" s="178">
        <f t="shared" si="23"/>
        <v>43561</v>
      </c>
      <c r="J42" s="178">
        <f t="shared" si="23"/>
        <v>43592</v>
      </c>
      <c r="K42" s="178">
        <f t="shared" si="23"/>
        <v>43623</v>
      </c>
      <c r="L42" s="178">
        <f t="shared" si="23"/>
        <v>43654</v>
      </c>
      <c r="M42" s="178">
        <f t="shared" si="23"/>
        <v>43685</v>
      </c>
      <c r="N42" s="179" t="s">
        <v>125</v>
      </c>
      <c r="O42" s="43"/>
      <c r="P42" s="43"/>
      <c r="Q42" s="43"/>
      <c r="R42" s="43"/>
      <c r="S42" s="43"/>
    </row>
    <row r="43" ht="15.75" customHeight="1">
      <c r="A43" s="429" t="s">
        <v>158</v>
      </c>
      <c r="B43" s="235">
        <v>5548315.94</v>
      </c>
      <c r="C43" s="210">
        <v>5548315.94</v>
      </c>
      <c r="D43" s="235">
        <v>5548315.94</v>
      </c>
      <c r="E43" s="214">
        <f>5724373.66+4631069.68</f>
        <v>10355443.34</v>
      </c>
      <c r="F43" s="214">
        <v>5773785.76</v>
      </c>
      <c r="G43" s="214">
        <v>5774366.84</v>
      </c>
      <c r="H43" s="214">
        <v>5806274.1</v>
      </c>
      <c r="I43" s="214">
        <v>5806274.1</v>
      </c>
      <c r="J43" s="214">
        <v>5873810.82</v>
      </c>
      <c r="K43" s="214">
        <v>6358948.73</v>
      </c>
      <c r="L43" s="214">
        <v>6200856.12</v>
      </c>
      <c r="M43" s="214">
        <v>6241838.2</v>
      </c>
      <c r="N43" s="216">
        <f t="shared" ref="N43:N47" si="24">SUM(B43:M43)</f>
        <v>74836545.83</v>
      </c>
      <c r="O43" s="43"/>
      <c r="P43" s="43"/>
      <c r="Q43" s="43"/>
      <c r="R43" s="43"/>
      <c r="S43" s="43"/>
    </row>
    <row r="44" ht="15.75" customHeight="1">
      <c r="A44" s="429" t="s">
        <v>159</v>
      </c>
      <c r="B44" s="235">
        <v>1079378.63</v>
      </c>
      <c r="C44" s="214">
        <v>1079378.63</v>
      </c>
      <c r="D44" s="235">
        <v>1079378.63</v>
      </c>
      <c r="E44" s="214">
        <f>1093303.98+0</f>
        <v>1093303.98</v>
      </c>
      <c r="F44" s="214">
        <v>622277.2</v>
      </c>
      <c r="G44" s="214">
        <v>622858.28</v>
      </c>
      <c r="H44" s="214">
        <v>622858.28</v>
      </c>
      <c r="I44" s="214">
        <v>622858.28</v>
      </c>
      <c r="J44" s="214">
        <v>623025.52</v>
      </c>
      <c r="K44" s="214">
        <v>773761.33</v>
      </c>
      <c r="L44" s="214">
        <v>771215.92</v>
      </c>
      <c r="M44" s="214">
        <v>776735.78</v>
      </c>
      <c r="N44" s="216">
        <f t="shared" si="24"/>
        <v>9767030.46</v>
      </c>
      <c r="O44" s="43"/>
      <c r="P44" s="43"/>
      <c r="Q44" s="43"/>
      <c r="R44" s="43"/>
      <c r="S44" s="43"/>
    </row>
    <row r="45" ht="15.75" customHeight="1">
      <c r="A45" s="198" t="s">
        <v>141</v>
      </c>
      <c r="B45" s="199">
        <f t="shared" ref="B45:M45" si="25">B43-B44</f>
        <v>4468937.31</v>
      </c>
      <c r="C45" s="199">
        <f t="shared" si="25"/>
        <v>4468937.31</v>
      </c>
      <c r="D45" s="199">
        <f t="shared" si="25"/>
        <v>4468937.31</v>
      </c>
      <c r="E45" s="199">
        <f t="shared" si="25"/>
        <v>9262139.36</v>
      </c>
      <c r="F45" s="199">
        <f t="shared" si="25"/>
        <v>5151508.56</v>
      </c>
      <c r="G45" s="199">
        <f t="shared" si="25"/>
        <v>5151508.56</v>
      </c>
      <c r="H45" s="199">
        <f t="shared" si="25"/>
        <v>5183415.82</v>
      </c>
      <c r="I45" s="199">
        <f t="shared" si="25"/>
        <v>5183415.82</v>
      </c>
      <c r="J45" s="199">
        <f t="shared" si="25"/>
        <v>5250785.3</v>
      </c>
      <c r="K45" s="199">
        <f t="shared" si="25"/>
        <v>5585187.4</v>
      </c>
      <c r="L45" s="199">
        <f t="shared" si="25"/>
        <v>5429640.2</v>
      </c>
      <c r="M45" s="199">
        <f t="shared" si="25"/>
        <v>5465102.42</v>
      </c>
      <c r="N45" s="199">
        <f t="shared" si="24"/>
        <v>65069515.37</v>
      </c>
      <c r="O45" s="43"/>
      <c r="P45" s="43"/>
      <c r="Q45" s="43"/>
      <c r="R45" s="43"/>
      <c r="S45" s="43"/>
    </row>
    <row r="46" ht="15.75" customHeight="1">
      <c r="A46" s="427" t="s">
        <v>384</v>
      </c>
      <c r="B46" s="210">
        <v>4468937.31</v>
      </c>
      <c r="C46" s="210">
        <v>4468937.31</v>
      </c>
      <c r="D46" s="210">
        <v>4468937.31</v>
      </c>
      <c r="E46" s="210">
        <v>9262139.36</v>
      </c>
      <c r="F46" s="210">
        <v>5151508.56</v>
      </c>
      <c r="G46" s="210">
        <v>5151508.56</v>
      </c>
      <c r="H46" s="210">
        <v>5183415.82</v>
      </c>
      <c r="I46" s="210">
        <v>5183415.82</v>
      </c>
      <c r="J46" s="210">
        <v>5250785.3</v>
      </c>
      <c r="K46" s="210">
        <v>5585187.4</v>
      </c>
      <c r="L46" s="210">
        <v>5429640.2</v>
      </c>
      <c r="M46" s="210">
        <v>5465102.42</v>
      </c>
      <c r="N46" s="239">
        <f t="shared" si="24"/>
        <v>65069515.37</v>
      </c>
      <c r="O46" s="43"/>
      <c r="P46" s="43"/>
      <c r="Q46" s="43"/>
      <c r="R46" s="43"/>
      <c r="S46" s="43"/>
    </row>
    <row r="47" ht="15.75" customHeight="1">
      <c r="A47" s="198" t="s">
        <v>143</v>
      </c>
      <c r="B47" s="199">
        <f t="shared" ref="B47:M47" si="26">B45-B46</f>
        <v>0.0000000009313225746</v>
      </c>
      <c r="C47" s="199">
        <f t="shared" si="26"/>
        <v>0.0000000009313225746</v>
      </c>
      <c r="D47" s="199">
        <f t="shared" si="26"/>
        <v>0.0000000009313225746</v>
      </c>
      <c r="E47" s="199">
        <f t="shared" si="26"/>
        <v>0</v>
      </c>
      <c r="F47" s="199">
        <f t="shared" si="26"/>
        <v>0</v>
      </c>
      <c r="G47" s="199">
        <f t="shared" si="26"/>
        <v>0</v>
      </c>
      <c r="H47" s="199">
        <f t="shared" si="26"/>
        <v>-0.0000000009313225746</v>
      </c>
      <c r="I47" s="199">
        <f t="shared" si="26"/>
        <v>-0.0000000009313225746</v>
      </c>
      <c r="J47" s="199">
        <f t="shared" si="26"/>
        <v>0.0000000009313225746</v>
      </c>
      <c r="K47" s="199">
        <f t="shared" si="26"/>
        <v>0</v>
      </c>
      <c r="L47" s="199">
        <f t="shared" si="26"/>
        <v>0</v>
      </c>
      <c r="M47" s="199">
        <f t="shared" si="26"/>
        <v>0</v>
      </c>
      <c r="N47" s="199">
        <f t="shared" si="24"/>
        <v>0.000000001862645149</v>
      </c>
      <c r="O47" s="43"/>
      <c r="P47" s="43"/>
      <c r="Q47" s="43"/>
      <c r="R47" s="43"/>
      <c r="S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ht="15.75" customHeight="1">
      <c r="A49" s="241" t="s">
        <v>160</v>
      </c>
      <c r="B49" s="178">
        <f t="shared" ref="B49:M49" si="27">B42</f>
        <v>43344</v>
      </c>
      <c r="C49" s="178">
        <f t="shared" si="27"/>
        <v>43375</v>
      </c>
      <c r="D49" s="178">
        <f t="shared" si="27"/>
        <v>43406</v>
      </c>
      <c r="E49" s="178">
        <f t="shared" si="27"/>
        <v>43437</v>
      </c>
      <c r="F49" s="178">
        <f t="shared" si="27"/>
        <v>43468</v>
      </c>
      <c r="G49" s="178">
        <f t="shared" si="27"/>
        <v>43499</v>
      </c>
      <c r="H49" s="178">
        <f t="shared" si="27"/>
        <v>43530</v>
      </c>
      <c r="I49" s="178">
        <f t="shared" si="27"/>
        <v>43561</v>
      </c>
      <c r="J49" s="178">
        <f t="shared" si="27"/>
        <v>43592</v>
      </c>
      <c r="K49" s="178">
        <f t="shared" si="27"/>
        <v>43623</v>
      </c>
      <c r="L49" s="178">
        <f t="shared" si="27"/>
        <v>43654</v>
      </c>
      <c r="M49" s="178">
        <f t="shared" si="27"/>
        <v>43685</v>
      </c>
      <c r="N49" s="179" t="s">
        <v>125</v>
      </c>
      <c r="O49" s="43"/>
      <c r="P49" s="43"/>
      <c r="Q49" s="43"/>
      <c r="R49" s="43"/>
      <c r="S49" s="43"/>
    </row>
    <row r="50" ht="15.75" customHeight="1">
      <c r="A50" s="429" t="s">
        <v>43</v>
      </c>
      <c r="B50" s="235">
        <v>1065504.61</v>
      </c>
      <c r="C50" s="210">
        <v>1022303.42</v>
      </c>
      <c r="D50" s="235">
        <v>991832.32</v>
      </c>
      <c r="E50" s="214">
        <f>1019169.55+983956</f>
        <v>2003125.55</v>
      </c>
      <c r="F50" s="214">
        <v>1063624.94</v>
      </c>
      <c r="G50" s="214">
        <v>1063624.94</v>
      </c>
      <c r="H50" s="214">
        <v>1058686.72</v>
      </c>
      <c r="I50" s="214">
        <v>1058686.72</v>
      </c>
      <c r="J50" s="214">
        <v>1081893.52</v>
      </c>
      <c r="K50" s="214">
        <v>1072520.01</v>
      </c>
      <c r="L50" s="214">
        <v>1081828.07</v>
      </c>
      <c r="M50" s="214">
        <v>1103195.75</v>
      </c>
      <c r="N50" s="216">
        <f t="shared" ref="N50:N53" si="29">SUM(B50:M50)</f>
        <v>13666826.57</v>
      </c>
      <c r="O50" s="43"/>
      <c r="P50" s="43"/>
      <c r="Q50" s="43"/>
      <c r="R50" s="43"/>
      <c r="S50" s="43"/>
    </row>
    <row r="51" ht="15.75" customHeight="1">
      <c r="A51" s="198" t="s">
        <v>162</v>
      </c>
      <c r="B51" s="199">
        <f t="shared" ref="B51:M51" si="28">SUM(B50)</f>
        <v>1065504.61</v>
      </c>
      <c r="C51" s="199">
        <f t="shared" si="28"/>
        <v>1022303.42</v>
      </c>
      <c r="D51" s="199">
        <f t="shared" si="28"/>
        <v>991832.32</v>
      </c>
      <c r="E51" s="199">
        <f t="shared" si="28"/>
        <v>2003125.55</v>
      </c>
      <c r="F51" s="199">
        <f t="shared" si="28"/>
        <v>1063624.94</v>
      </c>
      <c r="G51" s="199">
        <f t="shared" si="28"/>
        <v>1063624.94</v>
      </c>
      <c r="H51" s="199">
        <f t="shared" si="28"/>
        <v>1058686.72</v>
      </c>
      <c r="I51" s="199">
        <f t="shared" si="28"/>
        <v>1058686.72</v>
      </c>
      <c r="J51" s="199">
        <f t="shared" si="28"/>
        <v>1081893.52</v>
      </c>
      <c r="K51" s="199">
        <f t="shared" si="28"/>
        <v>1072520.01</v>
      </c>
      <c r="L51" s="199">
        <f t="shared" si="28"/>
        <v>1081828.07</v>
      </c>
      <c r="M51" s="199">
        <f t="shared" si="28"/>
        <v>1103195.75</v>
      </c>
      <c r="N51" s="199">
        <f t="shared" si="29"/>
        <v>13666826.57</v>
      </c>
      <c r="O51" s="43"/>
      <c r="P51" s="43"/>
      <c r="Q51" s="43"/>
      <c r="R51" s="43"/>
      <c r="S51" s="43"/>
    </row>
    <row r="52" ht="15.75" customHeight="1">
      <c r="A52" s="427" t="s">
        <v>384</v>
      </c>
      <c r="B52" s="235">
        <v>1065504.61</v>
      </c>
      <c r="C52" s="210">
        <v>1022303.42</v>
      </c>
      <c r="D52" s="235">
        <v>991832.32</v>
      </c>
      <c r="E52" s="214">
        <f>1019169.55+983956</f>
        <v>2003125.55</v>
      </c>
      <c r="F52" s="214">
        <v>1063624.94</v>
      </c>
      <c r="G52" s="214">
        <v>1063624.94</v>
      </c>
      <c r="H52" s="214">
        <v>1058686.72</v>
      </c>
      <c r="I52" s="214">
        <v>1058686.72</v>
      </c>
      <c r="J52" s="214">
        <v>1081893.52</v>
      </c>
      <c r="K52" s="214">
        <v>1072520.01</v>
      </c>
      <c r="L52" s="214">
        <v>1081828.07</v>
      </c>
      <c r="M52" s="214">
        <v>1103195.75</v>
      </c>
      <c r="N52" s="239">
        <f t="shared" si="29"/>
        <v>13666826.57</v>
      </c>
      <c r="O52" s="43"/>
      <c r="P52" s="43"/>
      <c r="Q52" s="43"/>
      <c r="R52" s="43"/>
      <c r="S52" s="43"/>
    </row>
    <row r="53" ht="15.75" customHeight="1">
      <c r="A53" s="198" t="s">
        <v>143</v>
      </c>
      <c r="B53" s="199">
        <f t="shared" ref="B53:M53" si="30">B51-B52</f>
        <v>0</v>
      </c>
      <c r="C53" s="199">
        <f t="shared" si="30"/>
        <v>0</v>
      </c>
      <c r="D53" s="199">
        <f t="shared" si="30"/>
        <v>0</v>
      </c>
      <c r="E53" s="199">
        <f t="shared" si="30"/>
        <v>0</v>
      </c>
      <c r="F53" s="199">
        <f t="shared" si="30"/>
        <v>0</v>
      </c>
      <c r="G53" s="199">
        <f t="shared" si="30"/>
        <v>0</v>
      </c>
      <c r="H53" s="199">
        <f t="shared" si="30"/>
        <v>0</v>
      </c>
      <c r="I53" s="199">
        <f t="shared" si="30"/>
        <v>0</v>
      </c>
      <c r="J53" s="199">
        <f t="shared" si="30"/>
        <v>0</v>
      </c>
      <c r="K53" s="199">
        <f t="shared" si="30"/>
        <v>0</v>
      </c>
      <c r="L53" s="199">
        <f t="shared" si="30"/>
        <v>0</v>
      </c>
      <c r="M53" s="199">
        <f t="shared" si="30"/>
        <v>0</v>
      </c>
      <c r="N53" s="199">
        <f t="shared" si="29"/>
        <v>0</v>
      </c>
      <c r="O53" s="43"/>
      <c r="P53" s="43"/>
      <c r="Q53" s="43"/>
      <c r="R53" s="43"/>
      <c r="S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117"/>
      <c r="N54" s="43"/>
      <c r="O54" s="43"/>
      <c r="P54" s="43"/>
      <c r="Q54" s="43"/>
      <c r="R54" s="43"/>
      <c r="S54" s="43"/>
    </row>
    <row r="55" ht="15.75" customHeight="1">
      <c r="A55" s="76"/>
      <c r="B55" s="43"/>
      <c r="C55" s="43"/>
      <c r="D55" s="43"/>
      <c r="E55" s="43"/>
      <c r="F55" s="113"/>
      <c r="G55" s="43"/>
      <c r="H55" s="43"/>
      <c r="I55" s="43"/>
      <c r="J55" s="43"/>
      <c r="K55" s="43"/>
      <c r="L55" s="43"/>
      <c r="M55" s="117"/>
      <c r="N55" s="43"/>
      <c r="O55" s="43"/>
      <c r="P55" s="43"/>
      <c r="Q55" s="43"/>
      <c r="R55" s="43"/>
      <c r="S55" s="43"/>
    </row>
    <row r="56" ht="15.75" customHeight="1">
      <c r="A56" s="114" t="s">
        <v>55</v>
      </c>
      <c r="B56" s="120"/>
      <c r="C56" s="115" t="s">
        <v>391</v>
      </c>
      <c r="D56" s="115" t="s">
        <v>127</v>
      </c>
      <c r="E56" s="115" t="s">
        <v>128</v>
      </c>
      <c r="F56" s="43"/>
      <c r="G56" s="43"/>
      <c r="H56" s="43"/>
      <c r="I56" s="43"/>
      <c r="J56" s="43"/>
      <c r="K56" s="43"/>
      <c r="L56" s="43"/>
      <c r="M56" s="117"/>
      <c r="N56" s="43"/>
      <c r="O56" s="43"/>
      <c r="P56" s="43"/>
      <c r="Q56" s="43"/>
      <c r="R56" s="43"/>
      <c r="S56" s="43"/>
    </row>
    <row r="57" ht="15.75" customHeight="1">
      <c r="A57" s="76" t="s">
        <v>164</v>
      </c>
      <c r="B57" s="43"/>
      <c r="C57" s="118">
        <f t="shared" ref="C57:E57" si="31">SUM(C58:C60)</f>
        <v>305469940.3</v>
      </c>
      <c r="D57" s="118">
        <f t="shared" si="31"/>
        <v>307233568.9</v>
      </c>
      <c r="E57" s="118">
        <f t="shared" si="31"/>
        <v>-1763628.59</v>
      </c>
      <c r="F57" s="76"/>
      <c r="G57" s="43"/>
      <c r="H57" s="43"/>
      <c r="I57" s="43"/>
      <c r="J57" s="43"/>
      <c r="K57" s="43"/>
      <c r="L57" s="76"/>
      <c r="M57" s="76"/>
      <c r="N57" s="118">
        <f>SUM(N58:N60)</f>
        <v>305469940.3</v>
      </c>
      <c r="O57" s="43"/>
      <c r="P57" s="43"/>
      <c r="Q57" s="43"/>
      <c r="R57" s="43"/>
      <c r="S57" s="43"/>
    </row>
    <row r="58" ht="15.75" customHeight="1">
      <c r="A58" s="43" t="s">
        <v>165</v>
      </c>
      <c r="B58" s="43"/>
      <c r="C58" s="119">
        <f>N17</f>
        <v>241544266.3</v>
      </c>
      <c r="D58" s="119">
        <f>N18</f>
        <v>241544266.3</v>
      </c>
      <c r="E58" s="119">
        <f t="shared" ref="E58:E60" si="32">C58-D58</f>
        <v>-0.00000005960464478</v>
      </c>
      <c r="F58" s="119"/>
      <c r="G58" s="43"/>
      <c r="H58" s="43"/>
      <c r="I58" s="43"/>
      <c r="J58" s="43"/>
      <c r="K58" s="43"/>
      <c r="L58" s="43"/>
      <c r="M58" s="117"/>
      <c r="N58" s="119">
        <f>N18</f>
        <v>241544266.3</v>
      </c>
      <c r="O58" s="250"/>
      <c r="P58" s="43"/>
      <c r="Q58" s="43"/>
      <c r="R58" s="43"/>
      <c r="S58" s="43"/>
    </row>
    <row r="59" ht="15.75" customHeight="1">
      <c r="A59" s="43" t="s">
        <v>166</v>
      </c>
      <c r="B59" s="43"/>
      <c r="C59" s="119">
        <f>N27</f>
        <v>63925674.06</v>
      </c>
      <c r="D59" s="119">
        <f>N24</f>
        <v>65689302.65</v>
      </c>
      <c r="E59" s="119">
        <f t="shared" si="32"/>
        <v>-1763628.59</v>
      </c>
      <c r="F59" s="119"/>
      <c r="G59" s="43"/>
      <c r="H59" s="43"/>
      <c r="I59" s="43"/>
      <c r="J59" s="43"/>
      <c r="K59" s="43"/>
      <c r="L59" s="43"/>
      <c r="M59" s="117"/>
      <c r="N59" s="119">
        <f>N28</f>
        <v>63925674.06</v>
      </c>
      <c r="O59" s="251"/>
      <c r="P59" s="43"/>
      <c r="Q59" s="43"/>
      <c r="R59" s="43"/>
      <c r="S59" s="43"/>
    </row>
    <row r="60" ht="15.75" customHeight="1">
      <c r="A60" s="120" t="s">
        <v>167</v>
      </c>
      <c r="B60" s="120"/>
      <c r="C60" s="252">
        <v>0.0</v>
      </c>
      <c r="D60" s="252">
        <v>0.0</v>
      </c>
      <c r="E60" s="122">
        <f t="shared" si="32"/>
        <v>0</v>
      </c>
      <c r="F60" s="43"/>
      <c r="G60" s="43"/>
      <c r="H60" s="43"/>
      <c r="I60" s="43"/>
      <c r="J60" s="43"/>
      <c r="K60" s="43"/>
      <c r="L60" s="43"/>
      <c r="M60" s="43"/>
      <c r="N60" s="253">
        <v>0.0</v>
      </c>
      <c r="O60" s="43"/>
      <c r="P60" s="43"/>
      <c r="Q60" s="43"/>
      <c r="R60" s="43"/>
      <c r="S60" s="43"/>
    </row>
    <row r="61" ht="15.75" customHeight="1">
      <c r="A61" s="76" t="s">
        <v>168</v>
      </c>
      <c r="B61" s="43"/>
      <c r="C61" s="118">
        <f t="shared" ref="C61:E61" si="33">SUM(C62:C64)</f>
        <v>78736341.94</v>
      </c>
      <c r="D61" s="118">
        <f t="shared" si="33"/>
        <v>78736341.94</v>
      </c>
      <c r="E61" s="118">
        <f t="shared" si="33"/>
        <v>0</v>
      </c>
      <c r="F61" s="43"/>
      <c r="G61" s="43"/>
      <c r="H61" s="43"/>
      <c r="I61" s="43"/>
      <c r="J61" s="43"/>
      <c r="K61" s="43"/>
      <c r="L61" s="76"/>
      <c r="M61" s="76"/>
      <c r="N61" s="118">
        <f>SUM(N62:N63)</f>
        <v>78736341.94</v>
      </c>
      <c r="O61" s="43"/>
      <c r="P61" s="43"/>
      <c r="Q61" s="43"/>
      <c r="R61" s="43"/>
      <c r="S61" s="43"/>
    </row>
    <row r="62" ht="15.75" customHeight="1">
      <c r="A62" s="43" t="s">
        <v>169</v>
      </c>
      <c r="B62" s="43"/>
      <c r="C62" s="119">
        <f>N45</f>
        <v>65069515.37</v>
      </c>
      <c r="D62" s="119">
        <f>N46</f>
        <v>65069515.37</v>
      </c>
      <c r="E62" s="119">
        <f t="shared" ref="E62:E64" si="34">C62-D62</f>
        <v>0</v>
      </c>
      <c r="F62" s="43"/>
      <c r="G62" s="43"/>
      <c r="H62" s="43"/>
      <c r="I62" s="43"/>
      <c r="J62" s="43"/>
      <c r="K62" s="43"/>
      <c r="L62" s="43"/>
      <c r="M62" s="43"/>
      <c r="N62" s="119">
        <f>N45</f>
        <v>65069515.37</v>
      </c>
      <c r="O62" s="43"/>
      <c r="P62" s="43"/>
      <c r="Q62" s="43"/>
      <c r="R62" s="43"/>
      <c r="S62" s="43"/>
    </row>
    <row r="63" ht="15.75" customHeight="1">
      <c r="A63" s="43" t="s">
        <v>160</v>
      </c>
      <c r="B63" s="43"/>
      <c r="C63" s="119">
        <f>N51</f>
        <v>13666826.57</v>
      </c>
      <c r="D63" s="119">
        <f>N52</f>
        <v>13666826.57</v>
      </c>
      <c r="E63" s="119">
        <f t="shared" si="34"/>
        <v>0</v>
      </c>
      <c r="F63" s="43"/>
      <c r="G63" s="43"/>
      <c r="H63" s="43"/>
      <c r="I63" s="43"/>
      <c r="J63" s="43"/>
      <c r="K63" s="43"/>
      <c r="L63" s="43"/>
      <c r="M63" s="43"/>
      <c r="N63" s="119">
        <f>N51</f>
        <v>13666826.57</v>
      </c>
      <c r="O63" s="43"/>
      <c r="P63" s="43"/>
      <c r="Q63" s="43"/>
      <c r="R63" s="43"/>
      <c r="S63" s="43"/>
    </row>
    <row r="64" ht="15.75" customHeight="1">
      <c r="A64" s="120" t="s">
        <v>170</v>
      </c>
      <c r="B64" s="120"/>
      <c r="C64" s="252">
        <v>0.0</v>
      </c>
      <c r="D64" s="252">
        <v>0.0</v>
      </c>
      <c r="E64" s="122">
        <f t="shared" si="34"/>
        <v>0</v>
      </c>
      <c r="F64" s="43"/>
      <c r="G64" s="43"/>
      <c r="H64" s="43"/>
      <c r="I64" s="43"/>
      <c r="J64" s="43"/>
      <c r="K64" s="43"/>
      <c r="L64" s="43"/>
      <c r="M64" s="43"/>
      <c r="N64" s="253">
        <v>0.0</v>
      </c>
      <c r="O64" s="43"/>
      <c r="P64" s="43"/>
      <c r="Q64" s="43"/>
      <c r="R64" s="43"/>
      <c r="S64" s="43"/>
    </row>
    <row r="65" ht="15.75" customHeight="1">
      <c r="A65" s="76" t="s">
        <v>171</v>
      </c>
      <c r="B65" s="43"/>
      <c r="C65" s="206">
        <f t="shared" ref="C65:E65" si="35">SUM(C66:C69)</f>
        <v>78739822.33</v>
      </c>
      <c r="D65" s="206">
        <f t="shared" si="35"/>
        <v>78739822.33</v>
      </c>
      <c r="E65" s="206">
        <f t="shared" si="35"/>
        <v>0</v>
      </c>
      <c r="F65" s="43"/>
      <c r="G65" s="43"/>
      <c r="H65" s="43"/>
      <c r="I65" s="43"/>
      <c r="J65" s="43"/>
      <c r="K65" s="43"/>
      <c r="L65" s="76"/>
      <c r="M65" s="76"/>
      <c r="N65" s="254">
        <f>SUM(N66:N67)</f>
        <v>0</v>
      </c>
      <c r="O65" s="43"/>
      <c r="P65" s="43"/>
      <c r="Q65" s="43"/>
      <c r="R65" s="43"/>
      <c r="S65" s="43"/>
    </row>
    <row r="66" ht="15.75" customHeight="1">
      <c r="A66" s="43" t="s">
        <v>172</v>
      </c>
      <c r="B66" s="43"/>
      <c r="C66" s="255">
        <v>0.0</v>
      </c>
      <c r="D66" s="255">
        <v>0.0</v>
      </c>
      <c r="E66" s="117">
        <f t="shared" ref="E66:E69" si="36">C66-D66</f>
        <v>0</v>
      </c>
      <c r="F66" s="43"/>
      <c r="G66" s="43"/>
      <c r="H66" s="43"/>
      <c r="I66" s="43"/>
      <c r="J66" s="43"/>
      <c r="K66" s="43"/>
      <c r="L66" s="43"/>
      <c r="M66" s="43"/>
      <c r="N66" s="253">
        <v>0.0</v>
      </c>
      <c r="O66" s="43"/>
      <c r="P66" s="43"/>
      <c r="Q66" s="43"/>
      <c r="R66" s="43"/>
      <c r="S66" s="43"/>
    </row>
    <row r="67" ht="15.75" customHeight="1">
      <c r="A67" s="43" t="s">
        <v>173</v>
      </c>
      <c r="B67" s="43"/>
      <c r="C67" s="255">
        <v>0.0</v>
      </c>
      <c r="D67" s="255">
        <v>0.0</v>
      </c>
      <c r="E67" s="117">
        <f t="shared" si="36"/>
        <v>0</v>
      </c>
      <c r="F67" s="43"/>
      <c r="G67" s="43"/>
      <c r="H67" s="43"/>
      <c r="I67" s="43"/>
      <c r="J67" s="43"/>
      <c r="K67" s="43"/>
      <c r="L67" s="43"/>
      <c r="M67" s="43"/>
      <c r="N67" s="253">
        <v>0.0</v>
      </c>
      <c r="O67" s="43"/>
      <c r="P67" s="43"/>
      <c r="Q67" s="43"/>
      <c r="R67" s="43"/>
      <c r="S67" s="43"/>
    </row>
    <row r="68" ht="15.75" customHeight="1">
      <c r="A68" s="43" t="s">
        <v>174</v>
      </c>
      <c r="B68" s="43"/>
      <c r="C68" s="119">
        <f t="shared" ref="C68:D68" si="37">C62+C63</f>
        <v>78736341.94</v>
      </c>
      <c r="D68" s="119">
        <f t="shared" si="37"/>
        <v>78736341.94</v>
      </c>
      <c r="E68" s="119">
        <f t="shared" si="36"/>
        <v>0</v>
      </c>
      <c r="F68" s="43"/>
      <c r="G68" s="43"/>
      <c r="H68" s="43"/>
      <c r="I68" s="43"/>
      <c r="J68" s="43"/>
      <c r="K68" s="43"/>
      <c r="L68" s="43"/>
      <c r="M68" s="43"/>
      <c r="N68" s="119">
        <f>N62+N63</f>
        <v>78736341.94</v>
      </c>
      <c r="O68" s="43"/>
      <c r="P68" s="43"/>
      <c r="Q68" s="43"/>
      <c r="R68" s="43"/>
      <c r="S68" s="43"/>
    </row>
    <row r="69" ht="15.75" customHeight="1">
      <c r="A69" s="120" t="s">
        <v>175</v>
      </c>
      <c r="B69" s="120"/>
      <c r="C69" s="252">
        <f>N9-13569.76</f>
        <v>3480.39</v>
      </c>
      <c r="D69" s="252">
        <v>3480.39</v>
      </c>
      <c r="E69" s="122">
        <f t="shared" si="36"/>
        <v>0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ht="15.75" customHeight="1">
      <c r="A70" s="43"/>
      <c r="B70" s="43"/>
      <c r="C70" s="43"/>
      <c r="D70" s="43"/>
      <c r="E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ht="15.75" customHeight="1">
      <c r="A71" s="76" t="s">
        <v>176</v>
      </c>
      <c r="B71" s="43"/>
      <c r="C71" s="113" t="s">
        <v>177</v>
      </c>
      <c r="D71" s="256" t="s">
        <v>178</v>
      </c>
      <c r="E71" s="12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ht="15.75" customHeight="1">
      <c r="A72" s="105" t="s">
        <v>179</v>
      </c>
      <c r="B72" s="105"/>
      <c r="C72" s="257">
        <v>0.0</v>
      </c>
      <c r="D72" s="258" t="s">
        <v>180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ht="15.75" customHeight="1">
      <c r="A73" s="43" t="s">
        <v>181</v>
      </c>
      <c r="B73" s="43"/>
      <c r="C73" s="186">
        <v>2.410566095667E10</v>
      </c>
      <c r="D73" s="258" t="s">
        <v>180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ht="15.75" customHeight="1">
      <c r="A74" s="43" t="s">
        <v>392</v>
      </c>
      <c r="B74" s="43"/>
      <c r="C74" s="186">
        <v>2300000.0</v>
      </c>
      <c r="D74" s="258" t="s">
        <v>180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ht="15.75" customHeight="1">
      <c r="A75" s="43" t="s">
        <v>184</v>
      </c>
      <c r="B75" s="43"/>
      <c r="C75" s="119">
        <f>C72+C73-C74</f>
        <v>24103360957</v>
      </c>
      <c r="D75" s="258" t="s">
        <v>180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ht="15.75" customHeight="1">
      <c r="A76" s="43" t="s">
        <v>185</v>
      </c>
      <c r="B76" s="43"/>
      <c r="C76" s="119">
        <f>C57-C69</f>
        <v>305466459.9</v>
      </c>
      <c r="D76" s="259">
        <f>(C76/C75)*100</f>
        <v>1.267318946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ht="15.75" customHeight="1">
      <c r="A77" s="43" t="s">
        <v>186</v>
      </c>
      <c r="B77" s="43"/>
      <c r="C77" s="119">
        <f>ROUND($C$75*F77,2)</f>
        <v>376012430.9</v>
      </c>
      <c r="D77" s="259">
        <f>(C77/C75)*100</f>
        <v>1.56</v>
      </c>
      <c r="F77" s="260">
        <v>0.0156</v>
      </c>
      <c r="G77" s="103" t="s">
        <v>187</v>
      </c>
      <c r="H77" s="43"/>
      <c r="I77" s="43"/>
      <c r="K77" s="43"/>
      <c r="L77" s="43"/>
      <c r="M77" s="43"/>
      <c r="N77" s="43"/>
      <c r="O77" s="43"/>
      <c r="P77" s="43"/>
      <c r="Q77" s="43"/>
      <c r="R77" s="43"/>
      <c r="S77" s="43"/>
    </row>
    <row r="78" ht="15.75" customHeight="1">
      <c r="A78" s="43" t="s">
        <v>188</v>
      </c>
      <c r="B78" s="43"/>
      <c r="C78" s="119">
        <f>ROUND($C$75*I78,2)-0.01</f>
        <v>357211809.4</v>
      </c>
      <c r="D78" s="259">
        <f t="shared" ref="D78:D79" si="38">I78*100</f>
        <v>1.482</v>
      </c>
      <c r="F78" s="260">
        <v>0.95</v>
      </c>
      <c r="G78" s="103" t="s">
        <v>189</v>
      </c>
      <c r="H78" s="43"/>
      <c r="I78" s="261">
        <f t="shared" ref="I78:I79" si="39">ROUND($F$77*F78,6)</f>
        <v>0.01482</v>
      </c>
      <c r="P78" s="43"/>
      <c r="Q78" s="43"/>
      <c r="R78" s="43"/>
      <c r="S78" s="43"/>
    </row>
    <row r="79" ht="15.75" customHeight="1">
      <c r="A79" s="120" t="s">
        <v>190</v>
      </c>
      <c r="B79" s="120"/>
      <c r="C79" s="197">
        <f>ROUND($C$75*I79,2)</f>
        <v>338411187.8</v>
      </c>
      <c r="D79" s="262">
        <f t="shared" si="38"/>
        <v>1.404</v>
      </c>
      <c r="E79" s="263"/>
      <c r="F79" s="260">
        <v>0.9</v>
      </c>
      <c r="G79" s="103" t="s">
        <v>191</v>
      </c>
      <c r="H79" s="43"/>
      <c r="I79" s="261">
        <f t="shared" si="39"/>
        <v>0.01404</v>
      </c>
      <c r="P79" s="43"/>
      <c r="Q79" s="43"/>
      <c r="R79" s="43"/>
      <c r="S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P80" s="43"/>
      <c r="Q80" s="43"/>
      <c r="R80" s="43"/>
      <c r="S80" s="43"/>
    </row>
    <row r="81" ht="15.75" customHeight="1">
      <c r="A81" s="264" t="s">
        <v>192</v>
      </c>
      <c r="B81" s="123"/>
      <c r="C81" s="265"/>
      <c r="D81" s="43"/>
      <c r="E81" s="43"/>
      <c r="F81" s="43"/>
      <c r="G81" s="43"/>
      <c r="H81" s="43"/>
      <c r="I81" s="43"/>
      <c r="J81" s="43"/>
      <c r="P81" s="251">
        <f>B84/B83</f>
        <v>0.005773558872</v>
      </c>
      <c r="Q81" s="43"/>
      <c r="R81" s="43"/>
      <c r="S81" s="43"/>
    </row>
    <row r="82" ht="15.75" customHeight="1">
      <c r="A82" s="265"/>
      <c r="B82" s="123"/>
      <c r="C82" s="265"/>
      <c r="D82" s="43"/>
      <c r="E82" s="43"/>
      <c r="F82" s="43"/>
      <c r="G82" s="43"/>
      <c r="H82" s="43"/>
      <c r="I82" s="43"/>
      <c r="J82" s="43"/>
      <c r="P82" s="43"/>
      <c r="Q82" s="43"/>
      <c r="R82" s="43"/>
      <c r="S82" s="43"/>
    </row>
    <row r="83" ht="15.75" customHeight="1">
      <c r="A83" s="266" t="s">
        <v>193</v>
      </c>
      <c r="B83" s="267">
        <f>C76</f>
        <v>305466459.9</v>
      </c>
      <c r="C83" s="268" t="s">
        <v>194</v>
      </c>
      <c r="D83" s="62"/>
      <c r="E83" s="63"/>
      <c r="F83" s="43"/>
      <c r="G83" s="43"/>
      <c r="H83" s="43"/>
      <c r="I83" s="43"/>
      <c r="J83" s="43"/>
      <c r="P83" s="251">
        <f>B86/B83</f>
        <v>0.03297448424</v>
      </c>
      <c r="Q83" s="43"/>
      <c r="R83" s="43"/>
      <c r="S83" s="43"/>
    </row>
    <row r="84" ht="15.75" customHeight="1">
      <c r="A84" s="266" t="s">
        <v>195</v>
      </c>
      <c r="B84" s="269">
        <f>N29</f>
        <v>1763628.59</v>
      </c>
      <c r="C84" s="270" t="s">
        <v>196</v>
      </c>
      <c r="D84" s="110"/>
      <c r="E84" s="111"/>
      <c r="F84" s="43"/>
      <c r="G84" s="43"/>
      <c r="H84" s="43"/>
      <c r="I84" s="43"/>
      <c r="J84" s="43"/>
      <c r="P84" s="43"/>
      <c r="Q84" s="43"/>
      <c r="R84" s="43"/>
      <c r="S84" s="43"/>
    </row>
    <row r="85" ht="15.75" customHeight="1">
      <c r="A85" s="266" t="s">
        <v>197</v>
      </c>
      <c r="B85" s="269">
        <f>SUM(B83:B84)</f>
        <v>307230088.5</v>
      </c>
      <c r="C85" s="272" t="s">
        <v>198</v>
      </c>
      <c r="D85" s="110"/>
      <c r="E85" s="111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ht="15.75" customHeight="1">
      <c r="A86" s="266" t="s">
        <v>199</v>
      </c>
      <c r="B86" s="269">
        <f>N36</f>
        <v>10072598.97</v>
      </c>
      <c r="C86" s="433" t="s">
        <v>393</v>
      </c>
      <c r="D86" s="110"/>
      <c r="E86" s="111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ht="15.75" customHeight="1">
      <c r="A87" s="266" t="s">
        <v>201</v>
      </c>
      <c r="B87" s="269">
        <f>SUM(B85:B86)</f>
        <v>317302687.5</v>
      </c>
      <c r="C87" s="272" t="s">
        <v>202</v>
      </c>
      <c r="D87" s="110"/>
      <c r="E87" s="111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ht="15.75" customHeight="1">
      <c r="A91" s="76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ht="15.75" customHeight="1">
      <c r="A92" s="76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 ht="15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</row>
    <row r="271" ht="15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</row>
    <row r="272" ht="15.7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</row>
    <row r="273" ht="15.7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</row>
    <row r="274" ht="15.7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</row>
    <row r="275" ht="15.7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</row>
    <row r="276" ht="15.7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</row>
    <row r="277" ht="15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</row>
    <row r="278" ht="15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</row>
    <row r="279" ht="15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</row>
    <row r="280" ht="15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</row>
    <row r="281" ht="15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</row>
    <row r="282" ht="15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</row>
    <row r="283" ht="15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</row>
    <row r="284" ht="15.7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</row>
    <row r="285" ht="15.7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</row>
    <row r="286" ht="15.7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</row>
    <row r="287" ht="15.7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</row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83:E83"/>
    <mergeCell ref="C84:E84"/>
    <mergeCell ref="C85:E85"/>
    <mergeCell ref="C86:E86"/>
    <mergeCell ref="C87:E87"/>
  </mergeCell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42.0"/>
    <col customWidth="1" min="2" max="2" width="16.0"/>
    <col customWidth="1" min="3" max="3" width="16.14"/>
    <col customWidth="1" min="4" max="4" width="14.29"/>
    <col customWidth="1" min="5" max="5" width="14.14"/>
    <col customWidth="1" min="6" max="6" width="13.71"/>
    <col customWidth="1" min="7" max="7" width="13.57"/>
    <col customWidth="1" min="8" max="8" width="13.0"/>
    <col customWidth="1" min="9" max="9" width="13.86"/>
    <col customWidth="1" min="10" max="10" width="13.57"/>
    <col customWidth="1" min="11" max="11" width="13.86"/>
    <col customWidth="1" min="12" max="13" width="13.43"/>
    <col customWidth="1" min="14" max="14" width="14.86"/>
  </cols>
  <sheetData>
    <row r="1" ht="22.5" customHeight="1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3"/>
      <c r="O1" s="76"/>
      <c r="P1" s="76"/>
      <c r="Q1" s="76"/>
      <c r="R1" s="76"/>
      <c r="S1" s="76"/>
    </row>
    <row r="2" ht="15.75" customHeight="1">
      <c r="A2" s="177" t="s">
        <v>124</v>
      </c>
      <c r="B2" s="178">
        <v>43435.0</v>
      </c>
      <c r="C2" s="178">
        <f t="shared" ref="C2:M2" si="1">B2+31</f>
        <v>43466</v>
      </c>
      <c r="D2" s="178">
        <f t="shared" si="1"/>
        <v>43497</v>
      </c>
      <c r="E2" s="178">
        <f t="shared" si="1"/>
        <v>43528</v>
      </c>
      <c r="F2" s="178">
        <f t="shared" si="1"/>
        <v>43559</v>
      </c>
      <c r="G2" s="178">
        <f t="shared" si="1"/>
        <v>43590</v>
      </c>
      <c r="H2" s="178">
        <f t="shared" si="1"/>
        <v>43621</v>
      </c>
      <c r="I2" s="178">
        <f t="shared" si="1"/>
        <v>43652</v>
      </c>
      <c r="J2" s="178">
        <f t="shared" si="1"/>
        <v>43683</v>
      </c>
      <c r="K2" s="178">
        <f t="shared" si="1"/>
        <v>43714</v>
      </c>
      <c r="L2" s="178">
        <f t="shared" si="1"/>
        <v>43745</v>
      </c>
      <c r="M2" s="178">
        <f t="shared" si="1"/>
        <v>43776</v>
      </c>
      <c r="N2" s="179" t="s">
        <v>125</v>
      </c>
      <c r="O2" s="76"/>
      <c r="P2" s="76"/>
      <c r="Q2" s="76"/>
      <c r="R2" s="76"/>
      <c r="S2" s="76"/>
    </row>
    <row r="3" ht="15.75" customHeight="1">
      <c r="A3" s="418" t="s">
        <v>129</v>
      </c>
      <c r="B3" s="181">
        <v>1.758457781E7</v>
      </c>
      <c r="C3" s="181">
        <v>1.769979169E7</v>
      </c>
      <c r="D3" s="181">
        <v>1.771173345E7</v>
      </c>
      <c r="E3" s="181">
        <v>1.768909693E7</v>
      </c>
      <c r="F3" s="181">
        <v>1.7661611189999998E7</v>
      </c>
      <c r="G3" s="181">
        <v>1.7613150380000003E7</v>
      </c>
      <c r="H3" s="181">
        <v>2.025152746E7</v>
      </c>
      <c r="I3" s="181">
        <v>2.052485772E7</v>
      </c>
      <c r="J3" s="181">
        <v>1.955117212E7</v>
      </c>
      <c r="K3" s="181">
        <v>1.905873484E7</v>
      </c>
      <c r="L3" s="181">
        <v>1.886468089E7</v>
      </c>
      <c r="M3" s="434">
        <v>1.882702891E7</v>
      </c>
      <c r="N3" s="182">
        <f t="shared" ref="N3:N16" si="2">SUM(B3:M3)</f>
        <v>223037963.4</v>
      </c>
      <c r="O3" s="43"/>
      <c r="P3" s="43"/>
      <c r="Q3" s="43"/>
      <c r="R3" s="43"/>
      <c r="S3" s="43"/>
    </row>
    <row r="4" ht="15.75" customHeight="1">
      <c r="A4" s="418" t="s">
        <v>134</v>
      </c>
      <c r="B4" s="181">
        <v>643843.27</v>
      </c>
      <c r="C4" s="181">
        <v>643843.27</v>
      </c>
      <c r="D4" s="181">
        <v>641912.47</v>
      </c>
      <c r="E4" s="181">
        <v>650794.05</v>
      </c>
      <c r="F4" s="181">
        <v>649635.58</v>
      </c>
      <c r="G4" s="181">
        <v>650794.05</v>
      </c>
      <c r="H4" s="181">
        <v>676825.14</v>
      </c>
      <c r="I4" s="181">
        <v>676825.14</v>
      </c>
      <c r="J4" s="181">
        <v>676825.14</v>
      </c>
      <c r="K4" s="181">
        <v>676825.12</v>
      </c>
      <c r="L4" s="181">
        <v>677066.09</v>
      </c>
      <c r="M4" s="434">
        <v>660395.99</v>
      </c>
      <c r="N4" s="182">
        <f t="shared" si="2"/>
        <v>7925585.31</v>
      </c>
      <c r="O4" s="43"/>
      <c r="P4" s="43"/>
      <c r="Q4" s="43"/>
      <c r="R4" s="43"/>
      <c r="S4" s="43"/>
    </row>
    <row r="5" ht="15.75" customHeight="1">
      <c r="A5" s="418" t="s">
        <v>135</v>
      </c>
      <c r="B5" s="181">
        <v>612688.35</v>
      </c>
      <c r="C5" s="181">
        <v>612855.42</v>
      </c>
      <c r="D5" s="181">
        <v>612921.09</v>
      </c>
      <c r="E5" s="181">
        <v>609261.22</v>
      </c>
      <c r="F5" s="181">
        <v>609294.05</v>
      </c>
      <c r="G5" s="181">
        <v>604077.32</v>
      </c>
      <c r="H5" s="181">
        <v>620301.18</v>
      </c>
      <c r="I5" s="181">
        <v>620719.34</v>
      </c>
      <c r="J5" s="181">
        <v>616562.65</v>
      </c>
      <c r="K5" s="181">
        <v>616040.96</v>
      </c>
      <c r="L5" s="181">
        <v>605350.23</v>
      </c>
      <c r="M5" s="434">
        <v>600542.27</v>
      </c>
      <c r="N5" s="182">
        <f t="shared" si="2"/>
        <v>7340614.08</v>
      </c>
      <c r="O5" s="43"/>
      <c r="P5" s="43"/>
      <c r="Q5" s="43"/>
      <c r="R5" s="43"/>
      <c r="S5" s="43"/>
    </row>
    <row r="6" ht="15.75" customHeight="1">
      <c r="A6" s="170" t="s">
        <v>136</v>
      </c>
      <c r="B6" s="181">
        <v>1.776406162E7</v>
      </c>
      <c r="C6" s="181">
        <v>0.0</v>
      </c>
      <c r="D6" s="181">
        <v>1930.76</v>
      </c>
      <c r="E6" s="181">
        <v>0.0</v>
      </c>
      <c r="F6" s="181">
        <v>7018.48</v>
      </c>
      <c r="G6" s="181">
        <v>0.0</v>
      </c>
      <c r="H6" s="181">
        <v>21479.12</v>
      </c>
      <c r="I6" s="181">
        <v>17731.11</v>
      </c>
      <c r="J6" s="181">
        <v>0.0</v>
      </c>
      <c r="K6" s="181">
        <v>16735.82</v>
      </c>
      <c r="L6" s="181">
        <v>23057.69</v>
      </c>
      <c r="M6" s="434">
        <v>0.0</v>
      </c>
      <c r="N6" s="182">
        <f t="shared" si="2"/>
        <v>17852014.6</v>
      </c>
      <c r="O6" s="43"/>
      <c r="P6" s="43"/>
      <c r="Q6" s="43"/>
      <c r="R6" s="43"/>
      <c r="S6" s="43"/>
    </row>
    <row r="7" ht="15.75" customHeight="1">
      <c r="A7" s="170" t="s">
        <v>137</v>
      </c>
      <c r="B7" s="181">
        <v>28400.0</v>
      </c>
      <c r="C7" s="181">
        <v>28000.0</v>
      </c>
      <c r="D7" s="181">
        <v>22200.0</v>
      </c>
      <c r="E7" s="181">
        <v>31600.0</v>
      </c>
      <c r="F7" s="181">
        <v>30200.0</v>
      </c>
      <c r="G7" s="181">
        <v>21000.0</v>
      </c>
      <c r="H7" s="181">
        <v>22700.0</v>
      </c>
      <c r="I7" s="181">
        <v>23700.0</v>
      </c>
      <c r="J7" s="181">
        <v>21600.0</v>
      </c>
      <c r="K7" s="181">
        <v>19800.0</v>
      </c>
      <c r="L7" s="181">
        <f>16000</f>
        <v>16000</v>
      </c>
      <c r="M7" s="181">
        <v>18600.0</v>
      </c>
      <c r="N7" s="182">
        <f t="shared" si="2"/>
        <v>283800</v>
      </c>
      <c r="O7" s="43"/>
      <c r="P7" s="43"/>
      <c r="Q7" s="43"/>
      <c r="R7" s="43"/>
      <c r="S7" s="43"/>
    </row>
    <row r="8" ht="15.75" customHeight="1">
      <c r="A8" s="418" t="s">
        <v>138</v>
      </c>
      <c r="B8" s="181">
        <v>24000.0</v>
      </c>
      <c r="C8" s="181">
        <v>23400.0</v>
      </c>
      <c r="D8" s="181">
        <v>26000.0</v>
      </c>
      <c r="E8" s="181">
        <v>21300.0</v>
      </c>
      <c r="F8" s="181">
        <v>23600.0</v>
      </c>
      <c r="G8" s="181">
        <v>22400.0</v>
      </c>
      <c r="H8" s="181">
        <v>20800.0</v>
      </c>
      <c r="I8" s="181">
        <v>19400.0</v>
      </c>
      <c r="J8" s="181">
        <v>22400.0</v>
      </c>
      <c r="K8" s="181">
        <v>21400.0</v>
      </c>
      <c r="L8" s="181">
        <v>22800.0</v>
      </c>
      <c r="M8" s="434">
        <v>20600.0</v>
      </c>
      <c r="N8" s="182">
        <f t="shared" si="2"/>
        <v>268100</v>
      </c>
      <c r="O8" s="43"/>
      <c r="P8" s="43"/>
      <c r="Q8" s="43"/>
      <c r="R8" s="43"/>
      <c r="S8" s="43"/>
    </row>
    <row r="9" ht="15.75" customHeight="1">
      <c r="A9" s="170" t="s">
        <v>139</v>
      </c>
      <c r="B9" s="181">
        <v>0.0</v>
      </c>
      <c r="C9" s="181">
        <v>1096.94</v>
      </c>
      <c r="D9" s="181">
        <v>0.0</v>
      </c>
      <c r="E9" s="181">
        <v>0.0</v>
      </c>
      <c r="F9" s="181">
        <v>0.0</v>
      </c>
      <c r="G9" s="181">
        <v>0.0</v>
      </c>
      <c r="H9" s="181">
        <v>0.0</v>
      </c>
      <c r="I9" s="181">
        <v>12472.82</v>
      </c>
      <c r="J9" s="181">
        <v>0.0</v>
      </c>
      <c r="K9" s="181">
        <v>13704.21</v>
      </c>
      <c r="L9" s="181">
        <v>1695.6</v>
      </c>
      <c r="M9" s="434">
        <v>157.75</v>
      </c>
      <c r="N9" s="182">
        <f t="shared" si="2"/>
        <v>29127.32</v>
      </c>
      <c r="O9" s="103"/>
      <c r="P9" s="43"/>
      <c r="Q9" s="43"/>
      <c r="R9" s="43"/>
      <c r="S9" s="43"/>
    </row>
    <row r="10" ht="15.75" customHeight="1">
      <c r="A10" s="422" t="s">
        <v>140</v>
      </c>
      <c r="B10" s="181">
        <v>63968.83</v>
      </c>
      <c r="C10" s="181">
        <v>37165.54</v>
      </c>
      <c r="D10" s="181">
        <v>36763.25</v>
      </c>
      <c r="E10" s="181">
        <v>72296.21</v>
      </c>
      <c r="F10" s="181">
        <v>34881.57</v>
      </c>
      <c r="G10" s="181">
        <v>36791.38</v>
      </c>
      <c r="H10" s="181">
        <v>70656.89</v>
      </c>
      <c r="I10" s="181">
        <v>47052.26</v>
      </c>
      <c r="J10" s="181">
        <v>47052.26</v>
      </c>
      <c r="K10" s="181">
        <v>47052.26</v>
      </c>
      <c r="L10" s="181">
        <f>33310.51+10384.16+3357.59</f>
        <v>47052.26</v>
      </c>
      <c r="M10" s="434">
        <f>52381.3+16260.22</f>
        <v>68641.52</v>
      </c>
      <c r="N10" s="182">
        <f t="shared" si="2"/>
        <v>609374.23</v>
      </c>
      <c r="O10" s="435"/>
      <c r="P10" s="43"/>
      <c r="Q10" s="43"/>
      <c r="R10" s="43"/>
      <c r="S10" s="43"/>
    </row>
    <row r="11" ht="15.75" customHeight="1">
      <c r="A11" s="418" t="s">
        <v>379</v>
      </c>
      <c r="B11" s="181">
        <v>792401.87</v>
      </c>
      <c r="C11" s="181">
        <v>104576.98</v>
      </c>
      <c r="D11" s="181">
        <v>106473.51</v>
      </c>
      <c r="E11" s="181">
        <v>103682.84</v>
      </c>
      <c r="F11" s="181">
        <v>104423.28</v>
      </c>
      <c r="G11" s="181">
        <v>104974.41</v>
      </c>
      <c r="H11" s="181">
        <v>229780.28</v>
      </c>
      <c r="I11" s="181">
        <v>234835.31</v>
      </c>
      <c r="J11" s="181">
        <v>220893.44</v>
      </c>
      <c r="K11" s="181">
        <v>211177.57</v>
      </c>
      <c r="L11" s="181">
        <v>214289.24</v>
      </c>
      <c r="M11" s="434">
        <v>204101.6</v>
      </c>
      <c r="N11" s="182">
        <f t="shared" si="2"/>
        <v>2631610.33</v>
      </c>
      <c r="O11" s="43"/>
      <c r="P11" s="43"/>
      <c r="Q11" s="43"/>
      <c r="R11" s="43"/>
      <c r="S11" s="43"/>
    </row>
    <row r="12" ht="15.75" customHeight="1">
      <c r="A12" s="422" t="s">
        <v>394</v>
      </c>
      <c r="B12" s="419">
        <v>0.0</v>
      </c>
      <c r="C12" s="181">
        <v>0.0</v>
      </c>
      <c r="D12" s="181">
        <v>0.0</v>
      </c>
      <c r="E12" s="181">
        <v>0.0</v>
      </c>
      <c r="F12" s="181">
        <v>0.0</v>
      </c>
      <c r="G12" s="181">
        <v>0.0</v>
      </c>
      <c r="H12" s="181">
        <v>0.0</v>
      </c>
      <c r="I12" s="181">
        <v>0.0</v>
      </c>
      <c r="J12" s="181">
        <v>0.0</v>
      </c>
      <c r="K12" s="181">
        <v>0.0</v>
      </c>
      <c r="L12" s="181">
        <v>0.0</v>
      </c>
      <c r="M12" s="181">
        <v>0.0</v>
      </c>
      <c r="N12" s="182">
        <f t="shared" si="2"/>
        <v>0</v>
      </c>
      <c r="O12" s="43"/>
      <c r="P12" s="43"/>
      <c r="Q12" s="43"/>
      <c r="R12" s="43"/>
      <c r="S12" s="43"/>
    </row>
    <row r="13" ht="15.75" customHeight="1">
      <c r="A13" s="170" t="s">
        <v>381</v>
      </c>
      <c r="B13" s="181">
        <v>0.0</v>
      </c>
      <c r="C13" s="181">
        <v>0.0</v>
      </c>
      <c r="D13" s="181">
        <v>0.0</v>
      </c>
      <c r="E13" s="181">
        <v>0.0</v>
      </c>
      <c r="F13" s="181">
        <v>0.0</v>
      </c>
      <c r="G13" s="181">
        <v>0.0</v>
      </c>
      <c r="H13" s="181">
        <v>0.0</v>
      </c>
      <c r="I13" s="181">
        <v>0.0</v>
      </c>
      <c r="J13" s="181">
        <v>0.0</v>
      </c>
      <c r="K13" s="181">
        <v>0.0</v>
      </c>
      <c r="L13" s="181">
        <v>0.0</v>
      </c>
      <c r="M13" s="181">
        <v>0.0</v>
      </c>
      <c r="N13" s="182">
        <f t="shared" si="2"/>
        <v>0</v>
      </c>
      <c r="O13" s="436">
        <v>0.32354166666666667</v>
      </c>
      <c r="P13" s="43"/>
      <c r="Q13" s="43"/>
      <c r="R13" s="43"/>
      <c r="S13" s="43"/>
    </row>
    <row r="14" ht="15.75" customHeight="1">
      <c r="A14" s="170" t="s">
        <v>382</v>
      </c>
      <c r="B14" s="181">
        <f>321051.17+321051.17</f>
        <v>642102.34</v>
      </c>
      <c r="C14" s="181">
        <v>357011.63</v>
      </c>
      <c r="D14" s="181">
        <v>386103.55</v>
      </c>
      <c r="E14" s="181">
        <v>385446.72</v>
      </c>
      <c r="F14" s="181">
        <v>385454.14</v>
      </c>
      <c r="G14" s="181">
        <v>385454.14</v>
      </c>
      <c r="H14" s="181">
        <v>412045.82</v>
      </c>
      <c r="I14" s="181">
        <v>394291.53</v>
      </c>
      <c r="J14" s="181">
        <v>394291.53</v>
      </c>
      <c r="K14" s="181">
        <v>396417.66</v>
      </c>
      <c r="L14" s="181">
        <v>396151.89</v>
      </c>
      <c r="M14" s="434">
        <v>398364.14</v>
      </c>
      <c r="N14" s="182">
        <f t="shared" si="2"/>
        <v>4933135.09</v>
      </c>
      <c r="O14" s="436">
        <v>0.6416666666666667</v>
      </c>
      <c r="P14" s="43"/>
      <c r="Q14" s="43"/>
      <c r="R14" s="43"/>
      <c r="S14" s="43"/>
    </row>
    <row r="15" ht="15.75" customHeight="1">
      <c r="A15" s="170" t="s">
        <v>383</v>
      </c>
      <c r="B15" s="181">
        <f>134810.32+134810.32</f>
        <v>269620.64</v>
      </c>
      <c r="C15" s="181">
        <v>138294.53</v>
      </c>
      <c r="D15" s="181">
        <v>109202.61</v>
      </c>
      <c r="E15" s="181">
        <v>109202.61</v>
      </c>
      <c r="F15" s="181">
        <v>109202.61</v>
      </c>
      <c r="G15" s="181">
        <v>109202.61</v>
      </c>
      <c r="H15" s="181">
        <v>122346.2</v>
      </c>
      <c r="I15" s="181">
        <v>113570.7</v>
      </c>
      <c r="J15" s="181">
        <v>113570.7</v>
      </c>
      <c r="K15" s="181">
        <v>113570.7</v>
      </c>
      <c r="L15" s="181">
        <v>113570.7</v>
      </c>
      <c r="M15" s="434">
        <v>120092.14</v>
      </c>
      <c r="N15" s="182">
        <f t="shared" si="2"/>
        <v>1541446.75</v>
      </c>
      <c r="O15" s="436">
        <f>O14-O13</f>
        <v>0.318125</v>
      </c>
      <c r="P15" s="43"/>
      <c r="Q15" s="43"/>
      <c r="R15" s="43"/>
      <c r="S15" s="43"/>
    </row>
    <row r="16" ht="15.75" customHeight="1">
      <c r="A16" s="170"/>
      <c r="B16" s="419"/>
      <c r="C16" s="181"/>
      <c r="D16" s="186"/>
      <c r="E16" s="181"/>
      <c r="F16" s="181"/>
      <c r="G16" s="181"/>
      <c r="H16" s="181"/>
      <c r="I16" s="181"/>
      <c r="J16" s="181"/>
      <c r="K16" s="181"/>
      <c r="L16" s="181"/>
      <c r="M16" s="181"/>
      <c r="N16" s="182">
        <f t="shared" si="2"/>
        <v>0</v>
      </c>
      <c r="O16" s="436">
        <v>0.25</v>
      </c>
      <c r="P16" s="43"/>
      <c r="Q16" s="43"/>
      <c r="R16" s="43"/>
      <c r="S16" s="43"/>
    </row>
    <row r="17" ht="15.75" customHeight="1">
      <c r="A17" s="198" t="s">
        <v>141</v>
      </c>
      <c r="B17" s="199">
        <f t="shared" ref="B17:M17" si="3">ROUND(SUM(B3:B10)-SUM(B11:B15),2)</f>
        <v>35017415.03</v>
      </c>
      <c r="C17" s="199">
        <f t="shared" si="3"/>
        <v>18446269.72</v>
      </c>
      <c r="D17" s="199">
        <f t="shared" si="3"/>
        <v>18451681.35</v>
      </c>
      <c r="E17" s="199">
        <f t="shared" si="3"/>
        <v>18476016.24</v>
      </c>
      <c r="F17" s="199">
        <f t="shared" si="3"/>
        <v>18417160.84</v>
      </c>
      <c r="G17" s="199">
        <f t="shared" si="3"/>
        <v>18348581.97</v>
      </c>
      <c r="H17" s="199">
        <f t="shared" si="3"/>
        <v>20920117.49</v>
      </c>
      <c r="I17" s="199">
        <f t="shared" si="3"/>
        <v>21200060.85</v>
      </c>
      <c r="J17" s="199">
        <f t="shared" si="3"/>
        <v>20206856.5</v>
      </c>
      <c r="K17" s="199">
        <f t="shared" si="3"/>
        <v>19749127.28</v>
      </c>
      <c r="L17" s="199">
        <f t="shared" si="3"/>
        <v>19533690.93</v>
      </c>
      <c r="M17" s="199">
        <f t="shared" si="3"/>
        <v>19473408.56</v>
      </c>
      <c r="N17" s="199">
        <f>ROUND(SUM(B17:M17),2)</f>
        <v>248240386.8</v>
      </c>
      <c r="O17" s="437">
        <f>O15-O16</f>
        <v>0.068125</v>
      </c>
      <c r="P17" s="76"/>
      <c r="Q17" s="76"/>
      <c r="R17" s="76"/>
      <c r="S17" s="76"/>
    </row>
    <row r="18" ht="15.75" customHeight="1">
      <c r="A18" s="423" t="s">
        <v>384</v>
      </c>
      <c r="B18" s="202">
        <v>3.501741503E7</v>
      </c>
      <c r="C18" s="202">
        <v>1.844626972E7</v>
      </c>
      <c r="D18" s="202">
        <v>1.845168135E7</v>
      </c>
      <c r="E18" s="202">
        <v>1.847601624E7</v>
      </c>
      <c r="F18" s="202">
        <v>1.841716084E7</v>
      </c>
      <c r="G18" s="202">
        <v>1.834858197E7</v>
      </c>
      <c r="H18" s="202">
        <v>2.092011749E7</v>
      </c>
      <c r="I18" s="202">
        <v>2.120006105E7</v>
      </c>
      <c r="J18" s="202">
        <v>2.02068563E7</v>
      </c>
      <c r="K18" s="202">
        <v>1.974912728E7</v>
      </c>
      <c r="L18" s="202">
        <v>1.953369093E7</v>
      </c>
      <c r="M18" s="202">
        <v>1.947576615E7</v>
      </c>
      <c r="N18" s="205">
        <f t="shared" ref="N18:N19" si="5">SUM(B18:M18)</f>
        <v>248242744.4</v>
      </c>
      <c r="O18" s="43"/>
      <c r="P18" s="43"/>
      <c r="Q18" s="43"/>
      <c r="R18" s="43"/>
      <c r="S18" s="43"/>
    </row>
    <row r="19" ht="15.75" customHeight="1">
      <c r="A19" s="198" t="s">
        <v>143</v>
      </c>
      <c r="B19" s="199">
        <f t="shared" ref="B19:M19" si="4">B17-B18</f>
        <v>0</v>
      </c>
      <c r="C19" s="199">
        <f t="shared" si="4"/>
        <v>0</v>
      </c>
      <c r="D19" s="199">
        <f t="shared" si="4"/>
        <v>0</v>
      </c>
      <c r="E19" s="199">
        <f t="shared" si="4"/>
        <v>0</v>
      </c>
      <c r="F19" s="199">
        <f t="shared" si="4"/>
        <v>0</v>
      </c>
      <c r="G19" s="199">
        <f t="shared" si="4"/>
        <v>0</v>
      </c>
      <c r="H19" s="199">
        <f t="shared" si="4"/>
        <v>0</v>
      </c>
      <c r="I19" s="199">
        <f t="shared" si="4"/>
        <v>-0.1999999993</v>
      </c>
      <c r="J19" s="199">
        <f t="shared" si="4"/>
        <v>0.1999999993</v>
      </c>
      <c r="K19" s="199">
        <f t="shared" si="4"/>
        <v>0</v>
      </c>
      <c r="L19" s="199">
        <f t="shared" si="4"/>
        <v>0</v>
      </c>
      <c r="M19" s="438">
        <f t="shared" si="4"/>
        <v>-2357.59</v>
      </c>
      <c r="N19" s="199">
        <f t="shared" si="5"/>
        <v>-2357.59</v>
      </c>
      <c r="O19" s="76"/>
      <c r="P19" s="76"/>
      <c r="Q19" s="76"/>
      <c r="R19" s="76"/>
      <c r="S19" s="76"/>
    </row>
    <row r="20" ht="15.75" customHeight="1">
      <c r="A20" s="43"/>
      <c r="B20" s="43"/>
      <c r="C20" s="43"/>
      <c r="D20" s="43"/>
      <c r="E20" s="43"/>
      <c r="F20" s="43"/>
      <c r="G20" s="43"/>
      <c r="H20" s="43"/>
      <c r="I20" s="119"/>
      <c r="J20" s="119"/>
      <c r="K20" s="119"/>
      <c r="L20" s="119"/>
      <c r="M20" s="119"/>
      <c r="N20" s="119"/>
      <c r="O20" s="43"/>
      <c r="P20" s="43"/>
      <c r="Q20" s="43"/>
      <c r="R20" s="43"/>
      <c r="S20" s="43"/>
    </row>
    <row r="21" ht="15.75" customHeight="1">
      <c r="A21" s="426" t="s">
        <v>144</v>
      </c>
      <c r="B21" s="178">
        <f t="shared" ref="B21:M21" si="6">B2</f>
        <v>43435</v>
      </c>
      <c r="C21" s="178">
        <f t="shared" si="6"/>
        <v>43466</v>
      </c>
      <c r="D21" s="178">
        <f t="shared" si="6"/>
        <v>43497</v>
      </c>
      <c r="E21" s="178">
        <f t="shared" si="6"/>
        <v>43528</v>
      </c>
      <c r="F21" s="178">
        <f t="shared" si="6"/>
        <v>43559</v>
      </c>
      <c r="G21" s="178">
        <f t="shared" si="6"/>
        <v>43590</v>
      </c>
      <c r="H21" s="178">
        <f t="shared" si="6"/>
        <v>43621</v>
      </c>
      <c r="I21" s="178">
        <f t="shared" si="6"/>
        <v>43652</v>
      </c>
      <c r="J21" s="178">
        <f t="shared" si="6"/>
        <v>43683</v>
      </c>
      <c r="K21" s="178">
        <f t="shared" si="6"/>
        <v>43714</v>
      </c>
      <c r="L21" s="178">
        <f t="shared" si="6"/>
        <v>43745</v>
      </c>
      <c r="M21" s="178">
        <f t="shared" si="6"/>
        <v>43776</v>
      </c>
      <c r="N21" s="179" t="s">
        <v>125</v>
      </c>
      <c r="O21" s="43"/>
      <c r="P21" s="43"/>
      <c r="Q21" s="43"/>
      <c r="R21" s="43"/>
      <c r="S21" s="43"/>
    </row>
    <row r="22" ht="15.75" customHeight="1">
      <c r="A22" s="170" t="s">
        <v>385</v>
      </c>
      <c r="B22" s="181">
        <v>9326373.69</v>
      </c>
      <c r="C22" s="181">
        <v>4914358.14</v>
      </c>
      <c r="D22" s="181">
        <v>4914358.14</v>
      </c>
      <c r="E22" s="181">
        <v>4906654.12</v>
      </c>
      <c r="F22" s="181">
        <v>4905214.55</v>
      </c>
      <c r="G22" s="181">
        <v>4887996.8</v>
      </c>
      <c r="H22" s="181">
        <v>5564934.79</v>
      </c>
      <c r="I22" s="181">
        <v>5231190.38</v>
      </c>
      <c r="J22" s="181">
        <v>5210430.0</v>
      </c>
      <c r="K22" s="181">
        <v>5216741.97</v>
      </c>
      <c r="L22" s="181">
        <v>5192162.39</v>
      </c>
      <c r="M22" s="181">
        <v>5183604.23</v>
      </c>
      <c r="N22" s="182">
        <f t="shared" ref="N22:N23" si="7">SUM(B22:M22)</f>
        <v>65454019.2</v>
      </c>
      <c r="O22" s="43"/>
      <c r="P22" s="43"/>
      <c r="Q22" s="43"/>
      <c r="R22" s="43"/>
      <c r="S22" s="43"/>
    </row>
    <row r="23" ht="15.75" customHeight="1">
      <c r="A23" s="427" t="s">
        <v>386</v>
      </c>
      <c r="B23" s="210">
        <v>301765.81</v>
      </c>
      <c r="C23" s="210">
        <v>149635.67</v>
      </c>
      <c r="D23" s="210">
        <v>153213.08</v>
      </c>
      <c r="E23" s="210">
        <v>150933.82</v>
      </c>
      <c r="F23" s="210">
        <v>153073.16</v>
      </c>
      <c r="G23" s="210">
        <v>151055.08</v>
      </c>
      <c r="H23" s="210">
        <v>175754.9</v>
      </c>
      <c r="I23" s="210">
        <v>156319.13</v>
      </c>
      <c r="J23" s="210">
        <v>156912.14</v>
      </c>
      <c r="K23" s="210">
        <v>158691.21</v>
      </c>
      <c r="L23" s="210">
        <v>161333.33</v>
      </c>
      <c r="M23" s="210">
        <v>160067.58</v>
      </c>
      <c r="N23" s="211">
        <f t="shared" si="7"/>
        <v>2028754.91</v>
      </c>
      <c r="O23" s="43"/>
      <c r="P23" s="43"/>
      <c r="Q23" s="43"/>
      <c r="R23" s="43"/>
      <c r="S23" s="43"/>
    </row>
    <row r="24" ht="15.75" customHeight="1">
      <c r="A24" s="198" t="s">
        <v>147</v>
      </c>
      <c r="B24" s="199">
        <f t="shared" ref="B24:M24" si="8">ROUND(SUM(B22:B23),2)</f>
        <v>9628139.5</v>
      </c>
      <c r="C24" s="199">
        <f t="shared" si="8"/>
        <v>5063993.81</v>
      </c>
      <c r="D24" s="199">
        <f t="shared" si="8"/>
        <v>5067571.22</v>
      </c>
      <c r="E24" s="199">
        <f t="shared" si="8"/>
        <v>5057587.94</v>
      </c>
      <c r="F24" s="199">
        <f t="shared" si="8"/>
        <v>5058287.71</v>
      </c>
      <c r="G24" s="199">
        <f t="shared" si="8"/>
        <v>5039051.88</v>
      </c>
      <c r="H24" s="199">
        <f t="shared" si="8"/>
        <v>5740689.69</v>
      </c>
      <c r="I24" s="199">
        <f t="shared" si="8"/>
        <v>5387509.51</v>
      </c>
      <c r="J24" s="199">
        <f t="shared" si="8"/>
        <v>5367342.14</v>
      </c>
      <c r="K24" s="199">
        <f t="shared" si="8"/>
        <v>5375433.18</v>
      </c>
      <c r="L24" s="199">
        <f t="shared" si="8"/>
        <v>5353495.72</v>
      </c>
      <c r="M24" s="199">
        <f t="shared" si="8"/>
        <v>5343671.81</v>
      </c>
      <c r="N24" s="199">
        <f>ROUND(SUM(B24:M24),2)</f>
        <v>67482774.11</v>
      </c>
      <c r="O24" s="76"/>
      <c r="P24" s="76"/>
      <c r="Q24" s="76"/>
      <c r="R24" s="76"/>
      <c r="S24" s="76"/>
    </row>
    <row r="25" ht="15.75" customHeight="1">
      <c r="A25" s="171" t="s">
        <v>387</v>
      </c>
      <c r="B25" s="181">
        <f>88836.53+88836.53+36398.75+36398.75</f>
        <v>250470.56</v>
      </c>
      <c r="C25" s="210"/>
      <c r="D25" s="210"/>
      <c r="E25" s="210"/>
      <c r="F25" s="210"/>
      <c r="G25" s="210"/>
      <c r="H25" s="210"/>
      <c r="I25" s="210"/>
      <c r="J25" s="210">
        <v>0.0</v>
      </c>
      <c r="K25" s="210">
        <v>0.0</v>
      </c>
      <c r="L25" s="210">
        <v>0.0</v>
      </c>
      <c r="M25" s="210">
        <v>0.0</v>
      </c>
      <c r="N25" s="211">
        <f t="shared" ref="N25:N26" si="10">SUM(B25:M25)</f>
        <v>250470.56</v>
      </c>
      <c r="O25" s="43"/>
      <c r="P25" s="43"/>
      <c r="Q25" s="43"/>
      <c r="R25" s="43"/>
      <c r="S25" s="43"/>
    </row>
    <row r="26" ht="15.75" customHeight="1">
      <c r="A26" s="43" t="s">
        <v>389</v>
      </c>
      <c r="B26" s="210">
        <v>0.0</v>
      </c>
      <c r="C26" s="210">
        <v>143475.0</v>
      </c>
      <c r="D26" s="210">
        <v>127765.38</v>
      </c>
      <c r="E26" s="210">
        <v>135760.96</v>
      </c>
      <c r="F26" s="210">
        <v>135947.15</v>
      </c>
      <c r="G26" s="210">
        <v>135947.15</v>
      </c>
      <c r="H26" s="210">
        <v>146940.84</v>
      </c>
      <c r="I26" s="210">
        <v>139777.71</v>
      </c>
      <c r="J26" s="210">
        <v>139777.81</v>
      </c>
      <c r="K26" s="210">
        <f t="shared" ref="K26:L26" si="9">109113.7+30664.06</f>
        <v>139777.76</v>
      </c>
      <c r="L26" s="210">
        <f t="shared" si="9"/>
        <v>139777.76</v>
      </c>
      <c r="M26" s="210">
        <f>109711.01+32424.84</f>
        <v>142135.85</v>
      </c>
      <c r="N26" s="211">
        <f t="shared" si="10"/>
        <v>1527083.37</v>
      </c>
      <c r="O26" s="43"/>
      <c r="P26" s="43"/>
      <c r="Q26" s="43"/>
      <c r="R26" s="43"/>
      <c r="S26" s="43"/>
    </row>
    <row r="27" ht="15.75" customHeight="1">
      <c r="A27" s="439" t="s">
        <v>149</v>
      </c>
      <c r="B27" s="239">
        <f t="shared" ref="B27:M27" si="11">ROUND(B24-B25-B26,2)</f>
        <v>9377668.94</v>
      </c>
      <c r="C27" s="239">
        <f t="shared" si="11"/>
        <v>4920518.81</v>
      </c>
      <c r="D27" s="239">
        <f t="shared" si="11"/>
        <v>4939805.84</v>
      </c>
      <c r="E27" s="239">
        <f t="shared" si="11"/>
        <v>4921826.98</v>
      </c>
      <c r="F27" s="239">
        <f t="shared" si="11"/>
        <v>4922340.56</v>
      </c>
      <c r="G27" s="239">
        <f t="shared" si="11"/>
        <v>4903104.73</v>
      </c>
      <c r="H27" s="239">
        <f t="shared" si="11"/>
        <v>5593748.85</v>
      </c>
      <c r="I27" s="239">
        <f t="shared" si="11"/>
        <v>5247731.8</v>
      </c>
      <c r="J27" s="239">
        <f t="shared" si="11"/>
        <v>5227564.33</v>
      </c>
      <c r="K27" s="239">
        <f t="shared" si="11"/>
        <v>5235655.42</v>
      </c>
      <c r="L27" s="239">
        <f t="shared" si="11"/>
        <v>5213717.96</v>
      </c>
      <c r="M27" s="239">
        <f t="shared" si="11"/>
        <v>5201535.96</v>
      </c>
      <c r="N27" s="239">
        <f>ROUND(SUM(B27:M27),2)</f>
        <v>65705220.18</v>
      </c>
      <c r="O27" s="220"/>
      <c r="P27" s="220"/>
      <c r="Q27" s="220"/>
      <c r="R27" s="220"/>
      <c r="S27" s="220"/>
    </row>
    <row r="28" ht="15.75" customHeight="1">
      <c r="A28" s="428" t="s">
        <v>384</v>
      </c>
      <c r="B28" s="223">
        <v>9377668.94</v>
      </c>
      <c r="C28" s="223">
        <v>4920518.81</v>
      </c>
      <c r="D28" s="223">
        <v>4939805.84</v>
      </c>
      <c r="E28" s="223">
        <v>4921826.98</v>
      </c>
      <c r="F28" s="223">
        <v>4922340.56</v>
      </c>
      <c r="G28" s="223">
        <v>4903104.73</v>
      </c>
      <c r="H28" s="223">
        <v>5593748.85</v>
      </c>
      <c r="I28" s="223">
        <v>5247731.8</v>
      </c>
      <c r="J28" s="223">
        <v>5227564.33</v>
      </c>
      <c r="K28" s="223">
        <v>5235655.42</v>
      </c>
      <c r="L28" s="223">
        <v>5213717.96</v>
      </c>
      <c r="M28" s="223">
        <v>5199535.97</v>
      </c>
      <c r="N28" s="224">
        <f>SUM(B28:M28)</f>
        <v>65703220.19</v>
      </c>
      <c r="O28" s="43"/>
      <c r="P28" s="43"/>
      <c r="Q28" s="43"/>
      <c r="R28" s="43"/>
      <c r="S28" s="43"/>
    </row>
    <row r="29" ht="15.75" customHeight="1">
      <c r="A29" s="225" t="s">
        <v>143</v>
      </c>
      <c r="B29" s="199">
        <f t="shared" ref="B29:M29" si="12">B27-B28</f>
        <v>0</v>
      </c>
      <c r="C29" s="199">
        <f t="shared" si="12"/>
        <v>0</v>
      </c>
      <c r="D29" s="199">
        <f t="shared" si="12"/>
        <v>0</v>
      </c>
      <c r="E29" s="199">
        <f t="shared" si="12"/>
        <v>0</v>
      </c>
      <c r="F29" s="199">
        <f t="shared" si="12"/>
        <v>0</v>
      </c>
      <c r="G29" s="199">
        <f t="shared" si="12"/>
        <v>0</v>
      </c>
      <c r="H29" s="199">
        <f t="shared" si="12"/>
        <v>0</v>
      </c>
      <c r="I29" s="199">
        <f t="shared" si="12"/>
        <v>0</v>
      </c>
      <c r="J29" s="199">
        <f t="shared" si="12"/>
        <v>0</v>
      </c>
      <c r="K29" s="199">
        <f t="shared" si="12"/>
        <v>0</v>
      </c>
      <c r="L29" s="199">
        <f t="shared" si="12"/>
        <v>0</v>
      </c>
      <c r="M29" s="438">
        <f t="shared" si="12"/>
        <v>1999.99</v>
      </c>
      <c r="N29" s="200">
        <f>N24-N28</f>
        <v>1779553.92</v>
      </c>
      <c r="O29" s="76"/>
      <c r="P29" s="76"/>
      <c r="Q29" s="76"/>
      <c r="R29" s="76"/>
      <c r="S29" s="76"/>
    </row>
    <row r="30" ht="15.75" customHeight="1">
      <c r="A30" s="43"/>
      <c r="B30" s="43"/>
      <c r="C30" s="43"/>
      <c r="D30" s="43"/>
      <c r="E30" s="43"/>
      <c r="F30" s="119"/>
      <c r="G30" s="119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ht="15.75" customHeight="1">
      <c r="A31" s="227" t="s">
        <v>150</v>
      </c>
      <c r="B31" s="228">
        <f t="shared" ref="B31:M31" si="13">B2</f>
        <v>43435</v>
      </c>
      <c r="C31" s="228">
        <f t="shared" si="13"/>
        <v>43466</v>
      </c>
      <c r="D31" s="228">
        <f t="shared" si="13"/>
        <v>43497</v>
      </c>
      <c r="E31" s="228">
        <f t="shared" si="13"/>
        <v>43528</v>
      </c>
      <c r="F31" s="228">
        <f t="shared" si="13"/>
        <v>43559</v>
      </c>
      <c r="G31" s="228">
        <f t="shared" si="13"/>
        <v>43590</v>
      </c>
      <c r="H31" s="228">
        <f t="shared" si="13"/>
        <v>43621</v>
      </c>
      <c r="I31" s="228">
        <f t="shared" si="13"/>
        <v>43652</v>
      </c>
      <c r="J31" s="228">
        <f t="shared" si="13"/>
        <v>43683</v>
      </c>
      <c r="K31" s="228">
        <f t="shared" si="13"/>
        <v>43714</v>
      </c>
      <c r="L31" s="228">
        <f t="shared" si="13"/>
        <v>43745</v>
      </c>
      <c r="M31" s="228">
        <f t="shared" si="13"/>
        <v>43776</v>
      </c>
      <c r="N31" s="229" t="s">
        <v>125</v>
      </c>
      <c r="O31" s="76"/>
      <c r="P31" s="76"/>
      <c r="Q31" s="76"/>
      <c r="R31" s="76"/>
      <c r="S31" s="76"/>
    </row>
    <row r="32" ht="24.75" customHeight="1">
      <c r="A32" s="429" t="s">
        <v>133</v>
      </c>
      <c r="B32" s="210">
        <v>522552.51</v>
      </c>
      <c r="C32" s="210">
        <f t="shared" ref="C32:D32" si="14">250320.4+26279.8+7981.5+3118.81</f>
        <v>287700.51</v>
      </c>
      <c r="D32" s="210">
        <f t="shared" si="14"/>
        <v>287700.51</v>
      </c>
      <c r="E32" s="210">
        <f>253670.36+26279.8+7981.5+3118.81</f>
        <v>291050.47</v>
      </c>
      <c r="F32" s="210">
        <f>259480.37+35047.54+7981.5+3118.81</f>
        <v>305628.22</v>
      </c>
      <c r="G32" s="210">
        <v>307243.83</v>
      </c>
      <c r="H32" s="210">
        <v>333957.41</v>
      </c>
      <c r="I32" s="210">
        <v>338451.53</v>
      </c>
      <c r="J32" s="210">
        <v>322397.62</v>
      </c>
      <c r="K32" s="210">
        <v>378043.59</v>
      </c>
      <c r="L32" s="210">
        <v>329184.18</v>
      </c>
      <c r="M32" s="210">
        <v>360365.15</v>
      </c>
      <c r="N32" s="211">
        <f t="shared" ref="N32:N35" si="15">SUM(B32:M32)</f>
        <v>4064275.53</v>
      </c>
      <c r="O32" s="43"/>
      <c r="P32" s="43"/>
      <c r="Q32" s="43"/>
      <c r="R32" s="43"/>
      <c r="S32" s="43"/>
    </row>
    <row r="33" ht="24.0" customHeight="1">
      <c r="A33" s="429" t="s">
        <v>151</v>
      </c>
      <c r="B33" s="210">
        <v>195190.49</v>
      </c>
      <c r="C33" s="210">
        <f>2596954.62+337766.69+40304.27+11798.43-40651.79-14925.39</f>
        <v>2931246.83</v>
      </c>
      <c r="D33" s="210">
        <v>325862.95</v>
      </c>
      <c r="E33" s="210">
        <v>262304.01</v>
      </c>
      <c r="F33" s="210">
        <v>243451.26</v>
      </c>
      <c r="G33" s="210">
        <v>497342.61</v>
      </c>
      <c r="H33" s="210">
        <v>403837.44</v>
      </c>
      <c r="I33" s="210">
        <v>921656.27</v>
      </c>
      <c r="J33" s="210">
        <f>143735.35</f>
        <v>143735.35</v>
      </c>
      <c r="K33" s="210">
        <v>334798.55</v>
      </c>
      <c r="L33" s="210">
        <v>258263.61</v>
      </c>
      <c r="M33" s="210">
        <v>328706.95</v>
      </c>
      <c r="N33" s="211">
        <f t="shared" si="15"/>
        <v>6846396.32</v>
      </c>
      <c r="O33" s="43"/>
      <c r="P33" s="43"/>
      <c r="Q33" s="43"/>
      <c r="R33" s="43"/>
      <c r="S33" s="43"/>
    </row>
    <row r="34" ht="23.25" customHeight="1">
      <c r="A34" s="429" t="s">
        <v>152</v>
      </c>
      <c r="B34" s="430">
        <v>31727.09</v>
      </c>
      <c r="C34" s="210">
        <v>20314.06</v>
      </c>
      <c r="D34" s="210">
        <v>66182.12</v>
      </c>
      <c r="E34" s="210">
        <v>0.0</v>
      </c>
      <c r="F34" s="210">
        <v>10946.07</v>
      </c>
      <c r="G34" s="210">
        <v>18956.67</v>
      </c>
      <c r="H34" s="210">
        <v>0.0</v>
      </c>
      <c r="I34" s="210">
        <v>25461.14</v>
      </c>
      <c r="J34" s="210">
        <v>41880.62</v>
      </c>
      <c r="K34" s="210">
        <v>11383.91</v>
      </c>
      <c r="L34" s="210">
        <v>9759.87</v>
      </c>
      <c r="M34" s="210">
        <v>0.0</v>
      </c>
      <c r="N34" s="211">
        <f t="shared" si="15"/>
        <v>236611.55</v>
      </c>
      <c r="O34" s="43"/>
      <c r="P34" s="43"/>
      <c r="Q34" s="43"/>
      <c r="R34" s="43"/>
      <c r="S34" s="43"/>
    </row>
    <row r="35" ht="22.5" customHeight="1">
      <c r="A35" s="429" t="s">
        <v>153</v>
      </c>
      <c r="B35" s="430">
        <v>26345.63</v>
      </c>
      <c r="C35" s="210">
        <v>0.0</v>
      </c>
      <c r="D35" s="210">
        <f>11493.37+5946.41</f>
        <v>17439.78</v>
      </c>
      <c r="E35" s="210">
        <v>0.0</v>
      </c>
      <c r="F35" s="210">
        <v>8863.13</v>
      </c>
      <c r="G35" s="210">
        <f>31751.36+10529.39</f>
        <v>42280.75</v>
      </c>
      <c r="H35" s="210">
        <f>13077.87+421.81</f>
        <v>13499.68</v>
      </c>
      <c r="I35" s="210">
        <v>0.0</v>
      </c>
      <c r="J35" s="210">
        <v>1043.59</v>
      </c>
      <c r="K35" s="210">
        <v>0.0</v>
      </c>
      <c r="L35" s="210">
        <v>0.0</v>
      </c>
      <c r="M35" s="210">
        <v>0.0</v>
      </c>
      <c r="N35" s="211">
        <f t="shared" si="15"/>
        <v>109472.56</v>
      </c>
      <c r="O35" s="43"/>
      <c r="P35" s="43"/>
      <c r="Q35" s="43"/>
      <c r="R35" s="43"/>
      <c r="S35" s="43"/>
    </row>
    <row r="36" ht="15.75" customHeight="1">
      <c r="A36" s="179" t="s">
        <v>154</v>
      </c>
      <c r="B36" s="236">
        <f t="shared" ref="B36:M36" si="16">ROUND(B32+B33-B34-B35,2)</f>
        <v>659670.28</v>
      </c>
      <c r="C36" s="236">
        <f t="shared" si="16"/>
        <v>3198633.28</v>
      </c>
      <c r="D36" s="236">
        <f t="shared" si="16"/>
        <v>529941.56</v>
      </c>
      <c r="E36" s="236">
        <f t="shared" si="16"/>
        <v>553354.48</v>
      </c>
      <c r="F36" s="236">
        <f t="shared" si="16"/>
        <v>529270.28</v>
      </c>
      <c r="G36" s="236">
        <f t="shared" si="16"/>
        <v>743349.02</v>
      </c>
      <c r="H36" s="236">
        <f t="shared" si="16"/>
        <v>724295.17</v>
      </c>
      <c r="I36" s="236">
        <f t="shared" si="16"/>
        <v>1234646.66</v>
      </c>
      <c r="J36" s="236">
        <f t="shared" si="16"/>
        <v>423208.76</v>
      </c>
      <c r="K36" s="236">
        <f t="shared" si="16"/>
        <v>701458.23</v>
      </c>
      <c r="L36" s="236">
        <f t="shared" si="16"/>
        <v>577687.92</v>
      </c>
      <c r="M36" s="236">
        <f t="shared" si="16"/>
        <v>689072.1</v>
      </c>
      <c r="N36" s="237">
        <f>ROUND(SUM(B36:M36),2)</f>
        <v>10564587.74</v>
      </c>
      <c r="O36" s="250"/>
      <c r="P36" s="76"/>
      <c r="Q36" s="76"/>
      <c r="R36" s="76"/>
      <c r="S36" s="76"/>
    </row>
    <row r="37" ht="15.75" customHeight="1">
      <c r="A37" s="43" t="s">
        <v>155</v>
      </c>
      <c r="B37" s="210">
        <v>522552.51</v>
      </c>
      <c r="C37" s="210">
        <v>287700.51</v>
      </c>
      <c r="D37" s="210">
        <v>287700.51</v>
      </c>
      <c r="E37" s="210">
        <v>291050.47</v>
      </c>
      <c r="F37" s="210">
        <v>305628.22</v>
      </c>
      <c r="G37" s="210">
        <v>307243.83</v>
      </c>
      <c r="H37" s="210">
        <v>333957.41</v>
      </c>
      <c r="I37" s="210">
        <v>338451.53</v>
      </c>
      <c r="J37" s="210">
        <v>322397.62</v>
      </c>
      <c r="K37" s="210">
        <v>378043.59</v>
      </c>
      <c r="L37" s="210">
        <v>329184.18</v>
      </c>
      <c r="M37" s="210">
        <v>360365.15</v>
      </c>
      <c r="N37" s="216">
        <f t="shared" ref="N37:N40" si="18">SUM(B37:M37)</f>
        <v>4064275.53</v>
      </c>
      <c r="O37" s="43"/>
      <c r="P37" s="43"/>
      <c r="Q37" s="43"/>
      <c r="R37" s="43"/>
      <c r="S37" s="43"/>
    </row>
    <row r="38" ht="15.75" customHeight="1">
      <c r="A38" s="225" t="s">
        <v>143</v>
      </c>
      <c r="B38" s="239">
        <f t="shared" ref="B38:M38" si="17">B32-B37</f>
        <v>0</v>
      </c>
      <c r="C38" s="239">
        <f t="shared" si="17"/>
        <v>0</v>
      </c>
      <c r="D38" s="239">
        <f t="shared" si="17"/>
        <v>0</v>
      </c>
      <c r="E38" s="239">
        <f t="shared" si="17"/>
        <v>0</v>
      </c>
      <c r="F38" s="239">
        <f t="shared" si="17"/>
        <v>0</v>
      </c>
      <c r="G38" s="239">
        <f t="shared" si="17"/>
        <v>0</v>
      </c>
      <c r="H38" s="239">
        <f t="shared" si="17"/>
        <v>0</v>
      </c>
      <c r="I38" s="239">
        <f t="shared" si="17"/>
        <v>0</v>
      </c>
      <c r="J38" s="239">
        <f t="shared" si="17"/>
        <v>0</v>
      </c>
      <c r="K38" s="239">
        <f t="shared" si="17"/>
        <v>0</v>
      </c>
      <c r="L38" s="239">
        <f t="shared" si="17"/>
        <v>0</v>
      </c>
      <c r="M38" s="239">
        <f t="shared" si="17"/>
        <v>0</v>
      </c>
      <c r="N38" s="199">
        <f t="shared" si="18"/>
        <v>0</v>
      </c>
      <c r="O38" s="43"/>
      <c r="P38" s="43"/>
      <c r="Q38" s="43"/>
      <c r="R38" s="43"/>
      <c r="S38" s="43"/>
    </row>
    <row r="39" ht="15.75" customHeight="1">
      <c r="A39" s="120" t="s">
        <v>156</v>
      </c>
      <c r="B39" s="210">
        <v>137117.77</v>
      </c>
      <c r="C39" s="210">
        <v>2910932.77</v>
      </c>
      <c r="D39" s="210">
        <v>242241.05</v>
      </c>
      <c r="E39" s="210">
        <v>262304.01</v>
      </c>
      <c r="F39" s="210">
        <v>223642.06</v>
      </c>
      <c r="G39" s="210">
        <v>436105.19</v>
      </c>
      <c r="H39" s="210">
        <v>390337.76</v>
      </c>
      <c r="I39" s="210">
        <v>896195.13</v>
      </c>
      <c r="J39" s="210">
        <v>100811.14</v>
      </c>
      <c r="K39" s="210">
        <v>323414.64</v>
      </c>
      <c r="L39" s="210">
        <v>248503.74</v>
      </c>
      <c r="M39" s="210">
        <v>328706.95</v>
      </c>
      <c r="N39" s="216">
        <f t="shared" si="18"/>
        <v>6500312.21</v>
      </c>
      <c r="O39" s="43"/>
      <c r="P39" s="119"/>
      <c r="Q39" s="43"/>
      <c r="R39" s="43"/>
      <c r="S39" s="43"/>
    </row>
    <row r="40" ht="15.75" customHeight="1">
      <c r="A40" s="225" t="s">
        <v>143</v>
      </c>
      <c r="B40" s="199">
        <f t="shared" ref="B40:M40" si="19">B33-B34-B35-B39</f>
        <v>0</v>
      </c>
      <c r="C40" s="199">
        <f t="shared" si="19"/>
        <v>0</v>
      </c>
      <c r="D40" s="199">
        <f t="shared" si="19"/>
        <v>0</v>
      </c>
      <c r="E40" s="199">
        <f t="shared" si="19"/>
        <v>0</v>
      </c>
      <c r="F40" s="199">
        <f t="shared" si="19"/>
        <v>0</v>
      </c>
      <c r="G40" s="199">
        <f t="shared" si="19"/>
        <v>0</v>
      </c>
      <c r="H40" s="199">
        <f t="shared" si="19"/>
        <v>0</v>
      </c>
      <c r="I40" s="199">
        <f t="shared" si="19"/>
        <v>0</v>
      </c>
      <c r="J40" s="199">
        <f t="shared" si="19"/>
        <v>0</v>
      </c>
      <c r="K40" s="199">
        <f t="shared" si="19"/>
        <v>0</v>
      </c>
      <c r="L40" s="199">
        <f t="shared" si="19"/>
        <v>0</v>
      </c>
      <c r="M40" s="199">
        <f t="shared" si="19"/>
        <v>0</v>
      </c>
      <c r="N40" s="199">
        <f t="shared" si="18"/>
        <v>0</v>
      </c>
      <c r="O40" s="43"/>
      <c r="P40" s="43"/>
      <c r="Q40" s="43"/>
      <c r="R40" s="43"/>
      <c r="S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ht="15.75" customHeight="1">
      <c r="A42" s="241" t="s">
        <v>157</v>
      </c>
      <c r="B42" s="178">
        <f t="shared" ref="B42:M42" si="20">B2</f>
        <v>43435</v>
      </c>
      <c r="C42" s="178">
        <f t="shared" si="20"/>
        <v>43466</v>
      </c>
      <c r="D42" s="178">
        <f t="shared" si="20"/>
        <v>43497</v>
      </c>
      <c r="E42" s="178">
        <f t="shared" si="20"/>
        <v>43528</v>
      </c>
      <c r="F42" s="178">
        <f t="shared" si="20"/>
        <v>43559</v>
      </c>
      <c r="G42" s="178">
        <f t="shared" si="20"/>
        <v>43590</v>
      </c>
      <c r="H42" s="178">
        <f t="shared" si="20"/>
        <v>43621</v>
      </c>
      <c r="I42" s="178">
        <f t="shared" si="20"/>
        <v>43652</v>
      </c>
      <c r="J42" s="178">
        <f t="shared" si="20"/>
        <v>43683</v>
      </c>
      <c r="K42" s="178">
        <f t="shared" si="20"/>
        <v>43714</v>
      </c>
      <c r="L42" s="178">
        <f t="shared" si="20"/>
        <v>43745</v>
      </c>
      <c r="M42" s="178">
        <f t="shared" si="20"/>
        <v>43776</v>
      </c>
      <c r="N42" s="179" t="s">
        <v>125</v>
      </c>
      <c r="O42" s="43"/>
      <c r="P42" s="43"/>
      <c r="Q42" s="43"/>
      <c r="R42" s="43"/>
      <c r="S42" s="43"/>
    </row>
    <row r="43" ht="15.75" customHeight="1">
      <c r="A43" s="429" t="s">
        <v>158</v>
      </c>
      <c r="B43" s="235">
        <v>5548315.94</v>
      </c>
      <c r="C43" s="214">
        <f>5724373.66+4631069.68</f>
        <v>10355443.34</v>
      </c>
      <c r="D43" s="214">
        <v>5773785.76</v>
      </c>
      <c r="E43" s="214">
        <v>5774366.84</v>
      </c>
      <c r="F43" s="214">
        <v>5806274.1</v>
      </c>
      <c r="G43" s="214">
        <v>5806274.1</v>
      </c>
      <c r="H43" s="214">
        <v>5873810.82</v>
      </c>
      <c r="I43" s="214">
        <v>6358948.73</v>
      </c>
      <c r="J43" s="214">
        <v>6200856.12</v>
      </c>
      <c r="K43" s="214">
        <v>6241838.2</v>
      </c>
      <c r="L43" s="214">
        <v>6303226.88</v>
      </c>
      <c r="M43" s="214">
        <v>6302182.38</v>
      </c>
      <c r="N43" s="216">
        <f t="shared" ref="N43:N47" si="21">SUM(B43:M43)</f>
        <v>76345323.21</v>
      </c>
      <c r="O43" s="43"/>
      <c r="P43" s="43"/>
      <c r="Q43" s="43"/>
      <c r="R43" s="43"/>
      <c r="S43" s="43"/>
    </row>
    <row r="44" ht="15.75" customHeight="1">
      <c r="A44" s="429" t="s">
        <v>159</v>
      </c>
      <c r="B44" s="235">
        <v>1079378.63</v>
      </c>
      <c r="C44" s="214">
        <f>1093303.98+0</f>
        <v>1093303.98</v>
      </c>
      <c r="D44" s="214">
        <v>622277.2</v>
      </c>
      <c r="E44" s="214">
        <v>622858.28</v>
      </c>
      <c r="F44" s="214">
        <v>622858.28</v>
      </c>
      <c r="G44" s="214">
        <v>622858.28</v>
      </c>
      <c r="H44" s="214">
        <v>623025.52</v>
      </c>
      <c r="I44" s="214">
        <v>773761.33</v>
      </c>
      <c r="J44" s="214">
        <v>771215.92</v>
      </c>
      <c r="K44" s="214">
        <v>776735.78</v>
      </c>
      <c r="L44" s="214">
        <v>777873.07</v>
      </c>
      <c r="M44" s="214">
        <v>780659.67</v>
      </c>
      <c r="N44" s="216">
        <f t="shared" si="21"/>
        <v>9166805.94</v>
      </c>
      <c r="O44" s="43"/>
      <c r="P44" s="43"/>
      <c r="Q44" s="43"/>
      <c r="R44" s="43"/>
      <c r="S44" s="43"/>
    </row>
    <row r="45" ht="15.75" customHeight="1">
      <c r="A45" s="198" t="s">
        <v>141</v>
      </c>
      <c r="B45" s="199">
        <f t="shared" ref="B45:M45" si="22">ROUND(B43-B44,2)</f>
        <v>4468937.31</v>
      </c>
      <c r="C45" s="199">
        <f t="shared" si="22"/>
        <v>9262139.36</v>
      </c>
      <c r="D45" s="199">
        <f t="shared" si="22"/>
        <v>5151508.56</v>
      </c>
      <c r="E45" s="199">
        <f t="shared" si="22"/>
        <v>5151508.56</v>
      </c>
      <c r="F45" s="199">
        <f t="shared" si="22"/>
        <v>5183415.82</v>
      </c>
      <c r="G45" s="199">
        <f t="shared" si="22"/>
        <v>5183415.82</v>
      </c>
      <c r="H45" s="199">
        <f t="shared" si="22"/>
        <v>5250785.3</v>
      </c>
      <c r="I45" s="199">
        <f t="shared" si="22"/>
        <v>5585187.4</v>
      </c>
      <c r="J45" s="199">
        <f t="shared" si="22"/>
        <v>5429640.2</v>
      </c>
      <c r="K45" s="199">
        <f t="shared" si="22"/>
        <v>5465102.42</v>
      </c>
      <c r="L45" s="199">
        <f t="shared" si="22"/>
        <v>5525353.81</v>
      </c>
      <c r="M45" s="199">
        <f t="shared" si="22"/>
        <v>5521522.71</v>
      </c>
      <c r="N45" s="199">
        <f t="shared" si="21"/>
        <v>67178517.27</v>
      </c>
      <c r="O45" s="43"/>
      <c r="P45" s="43"/>
      <c r="Q45" s="43"/>
      <c r="R45" s="43"/>
      <c r="S45" s="43"/>
    </row>
    <row r="46" ht="15.75" customHeight="1">
      <c r="A46" s="427" t="s">
        <v>384</v>
      </c>
      <c r="B46" s="210">
        <v>4468937.31</v>
      </c>
      <c r="C46" s="210">
        <v>9262139.36</v>
      </c>
      <c r="D46" s="210">
        <v>5151508.56</v>
      </c>
      <c r="E46" s="210">
        <v>5151508.56</v>
      </c>
      <c r="F46" s="210">
        <v>5183415.82</v>
      </c>
      <c r="G46" s="210">
        <v>5183415.82</v>
      </c>
      <c r="H46" s="210">
        <v>5250785.3</v>
      </c>
      <c r="I46" s="210">
        <v>5585187.4</v>
      </c>
      <c r="J46" s="210">
        <v>5429640.2</v>
      </c>
      <c r="K46" s="210">
        <v>5465102.42</v>
      </c>
      <c r="L46" s="210">
        <v>5525353.81</v>
      </c>
      <c r="M46" s="210">
        <v>5521522.71</v>
      </c>
      <c r="N46" s="239">
        <f t="shared" si="21"/>
        <v>67178517.27</v>
      </c>
      <c r="O46" s="43"/>
      <c r="P46" s="43"/>
      <c r="Q46" s="43"/>
      <c r="R46" s="43"/>
      <c r="S46" s="43"/>
    </row>
    <row r="47" ht="15.75" customHeight="1">
      <c r="A47" s="198" t="s">
        <v>143</v>
      </c>
      <c r="B47" s="199">
        <f t="shared" ref="B47:M47" si="23">B45-B46</f>
        <v>0</v>
      </c>
      <c r="C47" s="199">
        <f t="shared" si="23"/>
        <v>0</v>
      </c>
      <c r="D47" s="199">
        <f t="shared" si="23"/>
        <v>0</v>
      </c>
      <c r="E47" s="199">
        <f t="shared" si="23"/>
        <v>0</v>
      </c>
      <c r="F47" s="199">
        <f t="shared" si="23"/>
        <v>0</v>
      </c>
      <c r="G47" s="199">
        <f t="shared" si="23"/>
        <v>0</v>
      </c>
      <c r="H47" s="199">
        <f t="shared" si="23"/>
        <v>0</v>
      </c>
      <c r="I47" s="199">
        <f t="shared" si="23"/>
        <v>0</v>
      </c>
      <c r="J47" s="199">
        <f t="shared" si="23"/>
        <v>0</v>
      </c>
      <c r="K47" s="199">
        <f t="shared" si="23"/>
        <v>0</v>
      </c>
      <c r="L47" s="199">
        <f t="shared" si="23"/>
        <v>0</v>
      </c>
      <c r="M47" s="199">
        <f t="shared" si="23"/>
        <v>0</v>
      </c>
      <c r="N47" s="199">
        <f t="shared" si="21"/>
        <v>0</v>
      </c>
      <c r="O47" s="43"/>
      <c r="P47" s="43"/>
      <c r="Q47" s="43"/>
      <c r="R47" s="43"/>
      <c r="S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ht="15.75" customHeight="1">
      <c r="A49" s="241" t="s">
        <v>160</v>
      </c>
      <c r="B49" s="178">
        <f t="shared" ref="B49:M49" si="24">B42</f>
        <v>43435</v>
      </c>
      <c r="C49" s="178">
        <f t="shared" si="24"/>
        <v>43466</v>
      </c>
      <c r="D49" s="178">
        <f t="shared" si="24"/>
        <v>43497</v>
      </c>
      <c r="E49" s="178">
        <f t="shared" si="24"/>
        <v>43528</v>
      </c>
      <c r="F49" s="178">
        <f t="shared" si="24"/>
        <v>43559</v>
      </c>
      <c r="G49" s="178">
        <f t="shared" si="24"/>
        <v>43590</v>
      </c>
      <c r="H49" s="178">
        <f t="shared" si="24"/>
        <v>43621</v>
      </c>
      <c r="I49" s="178">
        <f t="shared" si="24"/>
        <v>43652</v>
      </c>
      <c r="J49" s="178">
        <f t="shared" si="24"/>
        <v>43683</v>
      </c>
      <c r="K49" s="178">
        <f t="shared" si="24"/>
        <v>43714</v>
      </c>
      <c r="L49" s="178">
        <f t="shared" si="24"/>
        <v>43745</v>
      </c>
      <c r="M49" s="178">
        <f t="shared" si="24"/>
        <v>43776</v>
      </c>
      <c r="N49" s="179" t="s">
        <v>125</v>
      </c>
      <c r="O49" s="43"/>
      <c r="P49" s="43"/>
      <c r="Q49" s="43"/>
      <c r="R49" s="43"/>
      <c r="S49" s="43"/>
    </row>
    <row r="50" ht="15.75" customHeight="1">
      <c r="A50" s="429" t="s">
        <v>43</v>
      </c>
      <c r="B50" s="214">
        <f>1019169.55+983956</f>
        <v>2003125.55</v>
      </c>
      <c r="C50" s="214">
        <v>1063624.94</v>
      </c>
      <c r="D50" s="214">
        <v>1063624.94</v>
      </c>
      <c r="E50" s="214">
        <v>1058686.72</v>
      </c>
      <c r="F50" s="214">
        <v>1058686.72</v>
      </c>
      <c r="G50" s="214">
        <v>1081893.52</v>
      </c>
      <c r="H50" s="214">
        <v>1072520.01</v>
      </c>
      <c r="I50" s="214">
        <v>1081828.07</v>
      </c>
      <c r="J50" s="214">
        <v>1103195.75</v>
      </c>
      <c r="K50" s="214">
        <v>1097573.31</v>
      </c>
      <c r="L50" s="214">
        <v>1123830.72</v>
      </c>
      <c r="M50" s="214">
        <v>1120727.74</v>
      </c>
      <c r="N50" s="216">
        <f t="shared" ref="N50:N53" si="26">SUM(B50:M50)</f>
        <v>13929317.99</v>
      </c>
      <c r="O50" s="43"/>
      <c r="P50" s="43"/>
      <c r="Q50" s="43"/>
      <c r="R50" s="43"/>
      <c r="S50" s="43"/>
    </row>
    <row r="51" ht="15.75" customHeight="1">
      <c r="A51" s="198" t="s">
        <v>162</v>
      </c>
      <c r="B51" s="199">
        <f t="shared" ref="B51:M51" si="25">SUM(B50)</f>
        <v>2003125.55</v>
      </c>
      <c r="C51" s="199">
        <f t="shared" si="25"/>
        <v>1063624.94</v>
      </c>
      <c r="D51" s="199">
        <f t="shared" si="25"/>
        <v>1063624.94</v>
      </c>
      <c r="E51" s="199">
        <f t="shared" si="25"/>
        <v>1058686.72</v>
      </c>
      <c r="F51" s="199">
        <f t="shared" si="25"/>
        <v>1058686.72</v>
      </c>
      <c r="G51" s="199">
        <f t="shared" si="25"/>
        <v>1081893.52</v>
      </c>
      <c r="H51" s="199">
        <f t="shared" si="25"/>
        <v>1072520.01</v>
      </c>
      <c r="I51" s="199">
        <f t="shared" si="25"/>
        <v>1081828.07</v>
      </c>
      <c r="J51" s="199">
        <f t="shared" si="25"/>
        <v>1103195.75</v>
      </c>
      <c r="K51" s="199">
        <f t="shared" si="25"/>
        <v>1097573.31</v>
      </c>
      <c r="L51" s="199">
        <f t="shared" si="25"/>
        <v>1123830.72</v>
      </c>
      <c r="M51" s="199">
        <f t="shared" si="25"/>
        <v>1120727.74</v>
      </c>
      <c r="N51" s="199">
        <f t="shared" si="26"/>
        <v>13929317.99</v>
      </c>
      <c r="O51" s="43"/>
      <c r="P51" s="43"/>
      <c r="Q51" s="43"/>
      <c r="R51" s="43"/>
      <c r="S51" s="43"/>
    </row>
    <row r="52" ht="15.75" customHeight="1">
      <c r="A52" s="427" t="s">
        <v>384</v>
      </c>
      <c r="B52" s="214">
        <f>1019169.55+983956</f>
        <v>2003125.55</v>
      </c>
      <c r="C52" s="214">
        <v>1063624.94</v>
      </c>
      <c r="D52" s="214">
        <v>1063624.94</v>
      </c>
      <c r="E52" s="214">
        <v>1058686.72</v>
      </c>
      <c r="F52" s="214">
        <v>1058686.72</v>
      </c>
      <c r="G52" s="214">
        <v>1081893.52</v>
      </c>
      <c r="H52" s="214">
        <v>1072520.01</v>
      </c>
      <c r="I52" s="214">
        <v>1081828.07</v>
      </c>
      <c r="J52" s="214">
        <v>1103195.75</v>
      </c>
      <c r="K52" s="214">
        <v>1097573.31</v>
      </c>
      <c r="L52" s="214">
        <v>1123830.72</v>
      </c>
      <c r="M52" s="214">
        <v>1120727.74</v>
      </c>
      <c r="N52" s="239">
        <f t="shared" si="26"/>
        <v>13929317.99</v>
      </c>
      <c r="O52" s="43"/>
      <c r="P52" s="43"/>
      <c r="Q52" s="43"/>
      <c r="R52" s="43"/>
      <c r="S52" s="43"/>
    </row>
    <row r="53" ht="15.75" customHeight="1">
      <c r="A53" s="198" t="s">
        <v>143</v>
      </c>
      <c r="B53" s="199">
        <f t="shared" ref="B53:M53" si="27">B51-B52</f>
        <v>0</v>
      </c>
      <c r="C53" s="199">
        <f t="shared" si="27"/>
        <v>0</v>
      </c>
      <c r="D53" s="199">
        <f t="shared" si="27"/>
        <v>0</v>
      </c>
      <c r="E53" s="199">
        <f t="shared" si="27"/>
        <v>0</v>
      </c>
      <c r="F53" s="199">
        <f t="shared" si="27"/>
        <v>0</v>
      </c>
      <c r="G53" s="199">
        <f t="shared" si="27"/>
        <v>0</v>
      </c>
      <c r="H53" s="199">
        <f t="shared" si="27"/>
        <v>0</v>
      </c>
      <c r="I53" s="199">
        <f t="shared" si="27"/>
        <v>0</v>
      </c>
      <c r="J53" s="199">
        <f t="shared" si="27"/>
        <v>0</v>
      </c>
      <c r="K53" s="199">
        <f t="shared" si="27"/>
        <v>0</v>
      </c>
      <c r="L53" s="199">
        <f t="shared" si="27"/>
        <v>0</v>
      </c>
      <c r="M53" s="199">
        <f t="shared" si="27"/>
        <v>0</v>
      </c>
      <c r="N53" s="199">
        <f t="shared" si="26"/>
        <v>0</v>
      </c>
      <c r="O53" s="43"/>
      <c r="P53" s="43"/>
      <c r="Q53" s="43"/>
      <c r="R53" s="43"/>
      <c r="S53" s="43"/>
    </row>
    <row r="54" ht="15.75" customHeight="1">
      <c r="A54" s="246"/>
      <c r="B54" s="247" t="str">
        <f t="shared" ref="B54:N54" si="28">IF(ROUND(B19+B29+B38+B40+B47+B53,2)=0,"ok","CONCILIAR")</f>
        <v>ok</v>
      </c>
      <c r="C54" s="247" t="str">
        <f t="shared" si="28"/>
        <v>ok</v>
      </c>
      <c r="D54" s="247" t="str">
        <f t="shared" si="28"/>
        <v>ok</v>
      </c>
      <c r="E54" s="247" t="str">
        <f t="shared" si="28"/>
        <v>ok</v>
      </c>
      <c r="F54" s="247" t="str">
        <f t="shared" si="28"/>
        <v>ok</v>
      </c>
      <c r="G54" s="247" t="str">
        <f t="shared" si="28"/>
        <v>ok</v>
      </c>
      <c r="H54" s="247" t="str">
        <f t="shared" si="28"/>
        <v>ok</v>
      </c>
      <c r="I54" s="247" t="str">
        <f t="shared" si="28"/>
        <v>CONCILIAR</v>
      </c>
      <c r="J54" s="247" t="str">
        <f t="shared" si="28"/>
        <v>CONCILIAR</v>
      </c>
      <c r="K54" s="247" t="str">
        <f t="shared" si="28"/>
        <v>ok</v>
      </c>
      <c r="L54" s="247" t="str">
        <f t="shared" si="28"/>
        <v>ok</v>
      </c>
      <c r="M54" s="247" t="str">
        <f t="shared" si="28"/>
        <v>CONCILIAR</v>
      </c>
      <c r="N54" s="247" t="str">
        <f t="shared" si="28"/>
        <v>CONCILIAR</v>
      </c>
      <c r="O54" s="246"/>
      <c r="P54" s="246"/>
      <c r="Q54" s="246"/>
      <c r="R54" s="246"/>
      <c r="S54" s="246"/>
    </row>
    <row r="55" ht="15.75" customHeight="1">
      <c r="A55" s="76"/>
      <c r="B55" s="43"/>
      <c r="C55" s="43"/>
      <c r="D55" s="43"/>
      <c r="E55" s="43"/>
      <c r="F55" s="11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ht="15.75" customHeight="1">
      <c r="A56" s="114" t="s">
        <v>55</v>
      </c>
      <c r="B56" s="120"/>
      <c r="C56" s="115" t="s">
        <v>391</v>
      </c>
      <c r="D56" s="115" t="s">
        <v>127</v>
      </c>
      <c r="E56" s="115" t="s">
        <v>128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ht="15.75" customHeight="1">
      <c r="A57" s="76" t="s">
        <v>164</v>
      </c>
      <c r="B57" s="43"/>
      <c r="C57" s="118">
        <f t="shared" ref="C57:E57" si="29">SUM(C58:C60)</f>
        <v>313945606.9</v>
      </c>
      <c r="D57" s="118">
        <f t="shared" si="29"/>
        <v>315725518.5</v>
      </c>
      <c r="E57" s="118">
        <f t="shared" si="29"/>
        <v>-1779911.52</v>
      </c>
      <c r="F57" s="76"/>
      <c r="G57" s="43"/>
      <c r="H57" s="43"/>
      <c r="I57" s="43"/>
      <c r="J57" s="43"/>
      <c r="K57" s="43"/>
      <c r="L57" s="76"/>
      <c r="M57" s="76"/>
      <c r="N57" s="118">
        <f>SUM(N58:N60)</f>
        <v>313945964.5</v>
      </c>
      <c r="O57" s="43"/>
      <c r="P57" s="43"/>
      <c r="Q57" s="43"/>
      <c r="R57" s="43"/>
      <c r="S57" s="43"/>
    </row>
    <row r="58" ht="15.75" customHeight="1">
      <c r="A58" s="43" t="s">
        <v>165</v>
      </c>
      <c r="B58" s="43"/>
      <c r="C58" s="119">
        <f>N17</f>
        <v>248240386.8</v>
      </c>
      <c r="D58" s="119">
        <f>N18</f>
        <v>248242744.4</v>
      </c>
      <c r="E58" s="119">
        <f t="shared" ref="E58:E60" si="30">C58-D58</f>
        <v>-2357.59</v>
      </c>
      <c r="F58" s="119"/>
      <c r="G58" s="43"/>
      <c r="H58" s="43"/>
      <c r="I58" s="43"/>
      <c r="J58" s="43"/>
      <c r="K58" s="43"/>
      <c r="L58" s="43"/>
      <c r="M58" s="43"/>
      <c r="N58" s="119">
        <f>N18</f>
        <v>248242744.4</v>
      </c>
      <c r="O58" s="250"/>
      <c r="P58" s="43"/>
      <c r="Q58" s="43"/>
      <c r="R58" s="43"/>
      <c r="S58" s="43"/>
    </row>
    <row r="59" ht="15.75" customHeight="1">
      <c r="A59" s="43" t="s">
        <v>166</v>
      </c>
      <c r="B59" s="43"/>
      <c r="C59" s="119">
        <f>N27</f>
        <v>65705220.18</v>
      </c>
      <c r="D59" s="119">
        <f>N24</f>
        <v>67482774.11</v>
      </c>
      <c r="E59" s="119">
        <f t="shared" si="30"/>
        <v>-1777553.93</v>
      </c>
      <c r="F59" s="119"/>
      <c r="G59" s="43"/>
      <c r="H59" s="43"/>
      <c r="I59" s="43"/>
      <c r="J59" s="43"/>
      <c r="K59" s="43"/>
      <c r="L59" s="43"/>
      <c r="M59" s="43"/>
      <c r="N59" s="119">
        <f>N28</f>
        <v>65703220.19</v>
      </c>
      <c r="O59" s="251"/>
      <c r="P59" s="43"/>
      <c r="Q59" s="43"/>
      <c r="R59" s="43"/>
      <c r="S59" s="43"/>
    </row>
    <row r="60" ht="15.75" customHeight="1">
      <c r="A60" s="120" t="s">
        <v>167</v>
      </c>
      <c r="B60" s="120"/>
      <c r="C60" s="252">
        <v>0.0</v>
      </c>
      <c r="D60" s="252">
        <v>0.0</v>
      </c>
      <c r="E60" s="122">
        <f t="shared" si="30"/>
        <v>0</v>
      </c>
      <c r="F60" s="43"/>
      <c r="G60" s="43"/>
      <c r="H60" s="43"/>
      <c r="I60" s="43"/>
      <c r="J60" s="43"/>
      <c r="K60" s="43"/>
      <c r="L60" s="43"/>
      <c r="M60" s="43"/>
      <c r="N60" s="253">
        <v>0.0</v>
      </c>
      <c r="O60" s="43"/>
      <c r="P60" s="43"/>
      <c r="Q60" s="43"/>
      <c r="R60" s="43"/>
      <c r="S60" s="43"/>
    </row>
    <row r="61" ht="15.75" customHeight="1">
      <c r="A61" s="76" t="s">
        <v>168</v>
      </c>
      <c r="B61" s="43"/>
      <c r="C61" s="118">
        <f t="shared" ref="C61:E61" si="31">SUM(C62:C64)</f>
        <v>81107835.26</v>
      </c>
      <c r="D61" s="118">
        <f t="shared" si="31"/>
        <v>81107835.26</v>
      </c>
      <c r="E61" s="118">
        <f t="shared" si="31"/>
        <v>0</v>
      </c>
      <c r="F61" s="43"/>
      <c r="G61" s="43"/>
      <c r="H61" s="43"/>
      <c r="I61" s="43"/>
      <c r="J61" s="43"/>
      <c r="K61" s="43"/>
      <c r="L61" s="76"/>
      <c r="M61" s="76"/>
      <c r="N61" s="118">
        <f>SUM(N62:N63)</f>
        <v>81107835.26</v>
      </c>
      <c r="O61" s="43"/>
      <c r="P61" s="43"/>
      <c r="Q61" s="43"/>
      <c r="R61" s="43"/>
      <c r="S61" s="43"/>
    </row>
    <row r="62" ht="15.75" customHeight="1">
      <c r="A62" s="43" t="s">
        <v>169</v>
      </c>
      <c r="B62" s="43"/>
      <c r="C62" s="119">
        <f>N45</f>
        <v>67178517.27</v>
      </c>
      <c r="D62" s="119">
        <f>N46</f>
        <v>67178517.27</v>
      </c>
      <c r="E62" s="119">
        <f t="shared" ref="E62:E64" si="32">C62-D62</f>
        <v>0</v>
      </c>
      <c r="F62" s="43"/>
      <c r="G62" s="43"/>
      <c r="H62" s="43"/>
      <c r="I62" s="43"/>
      <c r="J62" s="43"/>
      <c r="K62" s="43"/>
      <c r="L62" s="43"/>
      <c r="M62" s="43"/>
      <c r="N62" s="119">
        <f>N45</f>
        <v>67178517.27</v>
      </c>
      <c r="O62" s="43"/>
      <c r="P62" s="43"/>
      <c r="Q62" s="43"/>
      <c r="R62" s="43"/>
      <c r="S62" s="43"/>
    </row>
    <row r="63" ht="15.75" customHeight="1">
      <c r="A63" s="43" t="s">
        <v>160</v>
      </c>
      <c r="B63" s="43"/>
      <c r="C63" s="119">
        <f>N51</f>
        <v>13929317.99</v>
      </c>
      <c r="D63" s="119">
        <f>N52</f>
        <v>13929317.99</v>
      </c>
      <c r="E63" s="119">
        <f t="shared" si="32"/>
        <v>0</v>
      </c>
      <c r="F63" s="43"/>
      <c r="G63" s="43"/>
      <c r="H63" s="43"/>
      <c r="I63" s="43"/>
      <c r="J63" s="43"/>
      <c r="K63" s="43"/>
      <c r="L63" s="43"/>
      <c r="M63" s="43"/>
      <c r="N63" s="119">
        <f>N51</f>
        <v>13929317.99</v>
      </c>
      <c r="O63" s="43"/>
      <c r="P63" s="43"/>
      <c r="Q63" s="43"/>
      <c r="R63" s="43"/>
      <c r="S63" s="43"/>
    </row>
    <row r="64" ht="15.75" customHeight="1">
      <c r="A64" s="120" t="s">
        <v>170</v>
      </c>
      <c r="B64" s="120"/>
      <c r="C64" s="252">
        <v>0.0</v>
      </c>
      <c r="D64" s="252">
        <v>0.0</v>
      </c>
      <c r="E64" s="122">
        <f t="shared" si="32"/>
        <v>0</v>
      </c>
      <c r="F64" s="43"/>
      <c r="G64" s="43"/>
      <c r="H64" s="43"/>
      <c r="I64" s="43"/>
      <c r="J64" s="43"/>
      <c r="K64" s="43"/>
      <c r="L64" s="43"/>
      <c r="M64" s="43"/>
      <c r="N64" s="253">
        <v>0.0</v>
      </c>
      <c r="O64" s="43"/>
      <c r="P64" s="43"/>
      <c r="Q64" s="43"/>
      <c r="R64" s="43"/>
      <c r="S64" s="43"/>
    </row>
    <row r="65" ht="15.75" customHeight="1">
      <c r="A65" s="76" t="s">
        <v>171</v>
      </c>
      <c r="B65" s="43"/>
      <c r="C65" s="206">
        <f t="shared" ref="C65:E65" si="33">SUM(C66:C69)</f>
        <v>81107993.01</v>
      </c>
      <c r="D65" s="206">
        <f t="shared" si="33"/>
        <v>81111315.65</v>
      </c>
      <c r="E65" s="206">
        <f t="shared" si="33"/>
        <v>-3322.64</v>
      </c>
      <c r="F65" s="43"/>
      <c r="G65" s="43"/>
      <c r="H65" s="43"/>
      <c r="I65" s="43"/>
      <c r="J65" s="43"/>
      <c r="K65" s="43"/>
      <c r="L65" s="76"/>
      <c r="M65" s="76"/>
      <c r="N65" s="254">
        <f>SUM(N66:N67)</f>
        <v>0</v>
      </c>
      <c r="O65" s="43"/>
      <c r="P65" s="43"/>
      <c r="Q65" s="43"/>
      <c r="R65" s="43"/>
      <c r="S65" s="43"/>
    </row>
    <row r="66" ht="15.75" customHeight="1">
      <c r="A66" s="43" t="s">
        <v>172</v>
      </c>
      <c r="B66" s="43"/>
      <c r="C66" s="255">
        <v>0.0</v>
      </c>
      <c r="D66" s="255">
        <v>0.0</v>
      </c>
      <c r="E66" s="117">
        <f t="shared" ref="E66:E69" si="34">C66-D66</f>
        <v>0</v>
      </c>
      <c r="F66" s="43"/>
      <c r="G66" s="43"/>
      <c r="H66" s="43"/>
      <c r="I66" s="43"/>
      <c r="J66" s="43"/>
      <c r="K66" s="43"/>
      <c r="L66" s="43"/>
      <c r="M66" s="43"/>
      <c r="N66" s="253">
        <v>0.0</v>
      </c>
      <c r="O66" s="43"/>
      <c r="P66" s="43"/>
      <c r="Q66" s="43"/>
      <c r="R66" s="43"/>
      <c r="S66" s="43"/>
    </row>
    <row r="67" ht="15.75" customHeight="1">
      <c r="A67" s="43" t="s">
        <v>173</v>
      </c>
      <c r="B67" s="43"/>
      <c r="C67" s="255">
        <v>0.0</v>
      </c>
      <c r="D67" s="255">
        <v>0.0</v>
      </c>
      <c r="E67" s="117">
        <f t="shared" si="34"/>
        <v>0</v>
      </c>
      <c r="F67" s="43"/>
      <c r="G67" s="43"/>
      <c r="H67" s="43"/>
      <c r="I67" s="43"/>
      <c r="J67" s="43"/>
      <c r="K67" s="43"/>
      <c r="L67" s="43"/>
      <c r="M67" s="43"/>
      <c r="N67" s="253">
        <v>0.0</v>
      </c>
      <c r="O67" s="43"/>
      <c r="P67" s="43"/>
      <c r="Q67" s="43"/>
      <c r="R67" s="43"/>
      <c r="S67" s="43"/>
    </row>
    <row r="68" ht="15.75" customHeight="1">
      <c r="A68" s="43" t="s">
        <v>174</v>
      </c>
      <c r="B68" s="43"/>
      <c r="C68" s="119">
        <f t="shared" ref="C68:D68" si="35">C62+C63</f>
        <v>81107835.26</v>
      </c>
      <c r="D68" s="119">
        <f t="shared" si="35"/>
        <v>81107835.26</v>
      </c>
      <c r="E68" s="119">
        <f t="shared" si="34"/>
        <v>0</v>
      </c>
      <c r="F68" s="43"/>
      <c r="G68" s="43"/>
      <c r="H68" s="43"/>
      <c r="I68" s="43"/>
      <c r="J68" s="43"/>
      <c r="K68" s="43"/>
      <c r="L68" s="43"/>
      <c r="M68" s="43"/>
      <c r="N68" s="119">
        <f>N62+N63</f>
        <v>81107835.26</v>
      </c>
      <c r="O68" s="43"/>
      <c r="P68" s="43"/>
      <c r="Q68" s="43"/>
      <c r="R68" s="43"/>
      <c r="S68" s="43"/>
    </row>
    <row r="69" ht="15.75" customHeight="1">
      <c r="A69" s="120" t="s">
        <v>175</v>
      </c>
      <c r="B69" s="120"/>
      <c r="C69" s="252">
        <f>N9-28969.57</f>
        <v>157.75</v>
      </c>
      <c r="D69" s="252">
        <v>3480.39</v>
      </c>
      <c r="E69" s="122">
        <f t="shared" si="34"/>
        <v>-3322.64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ht="15.75" customHeight="1">
      <c r="A70" s="43"/>
      <c r="B70" s="43"/>
      <c r="C70" s="43"/>
      <c r="D70" s="43"/>
      <c r="E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ht="15.75" customHeight="1">
      <c r="A71" s="76" t="s">
        <v>176</v>
      </c>
      <c r="B71" s="43"/>
      <c r="C71" s="113" t="s">
        <v>177</v>
      </c>
      <c r="D71" s="256" t="s">
        <v>178</v>
      </c>
      <c r="E71" s="12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ht="15.75" customHeight="1">
      <c r="A72" s="105" t="s">
        <v>179</v>
      </c>
      <c r="B72" s="105"/>
      <c r="C72" s="257">
        <v>0.0</v>
      </c>
      <c r="D72" s="258" t="s">
        <v>180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ht="15.75" customHeight="1">
      <c r="A73" s="43" t="s">
        <v>181</v>
      </c>
      <c r="B73" s="43"/>
      <c r="C73" s="186">
        <v>2.446531015481E10</v>
      </c>
      <c r="D73" s="258" t="s">
        <v>180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ht="15.75" customHeight="1">
      <c r="A74" s="43" t="s">
        <v>392</v>
      </c>
      <c r="B74" s="43"/>
      <c r="C74" s="186">
        <v>0.0</v>
      </c>
      <c r="D74" s="258" t="s">
        <v>180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ht="15.75" customHeight="1">
      <c r="A75" s="43" t="s">
        <v>184</v>
      </c>
      <c r="B75" s="43"/>
      <c r="C75" s="119">
        <f>C72+C73-C74</f>
        <v>24465310155</v>
      </c>
      <c r="D75" s="258" t="s">
        <v>180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ht="15.75" customHeight="1">
      <c r="A76" s="43" t="s">
        <v>185</v>
      </c>
      <c r="B76" s="43"/>
      <c r="C76" s="119">
        <f>C57-C69</f>
        <v>313945449.2</v>
      </c>
      <c r="D76" s="259">
        <f>(C76/C75)*100</f>
        <v>1.283226933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ht="15.75" customHeight="1">
      <c r="A77" s="43" t="s">
        <v>186</v>
      </c>
      <c r="B77" s="43"/>
      <c r="C77" s="119">
        <f>ROUND($C$75*F77,2)</f>
        <v>381658838.4</v>
      </c>
      <c r="D77" s="259">
        <f>(C77/C75)*100</f>
        <v>1.56</v>
      </c>
      <c r="F77" s="260">
        <v>0.0156</v>
      </c>
      <c r="G77" s="103" t="s">
        <v>187</v>
      </c>
      <c r="H77" s="43"/>
      <c r="I77" s="43"/>
      <c r="K77" s="43"/>
      <c r="L77" s="43"/>
      <c r="M77" s="43"/>
      <c r="N77" s="43"/>
      <c r="O77" s="43"/>
      <c r="P77" s="43"/>
      <c r="Q77" s="43"/>
      <c r="R77" s="43"/>
      <c r="S77" s="43"/>
    </row>
    <row r="78" ht="15.75" customHeight="1">
      <c r="A78" s="43" t="s">
        <v>188</v>
      </c>
      <c r="B78" s="43"/>
      <c r="C78" s="119">
        <f>ROUND($C$75*I78,2)-0.01</f>
        <v>362575896.5</v>
      </c>
      <c r="D78" s="259">
        <f t="shared" ref="D78:D79" si="36">I78*100</f>
        <v>1.482</v>
      </c>
      <c r="F78" s="260">
        <v>0.95</v>
      </c>
      <c r="G78" s="103" t="s">
        <v>189</v>
      </c>
      <c r="H78" s="43"/>
      <c r="I78" s="261">
        <f t="shared" ref="I78:I79" si="37">ROUND($F$77*F78,6)</f>
        <v>0.01482</v>
      </c>
      <c r="P78" s="43"/>
      <c r="Q78" s="43"/>
      <c r="R78" s="43"/>
      <c r="S78" s="43"/>
    </row>
    <row r="79" ht="15.75" customHeight="1">
      <c r="A79" s="120" t="s">
        <v>190</v>
      </c>
      <c r="B79" s="120"/>
      <c r="C79" s="197">
        <f>ROUND($C$75*I79,2)</f>
        <v>343492954.6</v>
      </c>
      <c r="D79" s="262">
        <f t="shared" si="36"/>
        <v>1.404</v>
      </c>
      <c r="E79" s="263"/>
      <c r="F79" s="260">
        <v>0.9</v>
      </c>
      <c r="G79" s="103" t="s">
        <v>191</v>
      </c>
      <c r="H79" s="43"/>
      <c r="I79" s="261">
        <f t="shared" si="37"/>
        <v>0.01404</v>
      </c>
      <c r="P79" s="43"/>
      <c r="Q79" s="43"/>
      <c r="R79" s="43"/>
      <c r="S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P80" s="43"/>
      <c r="Q80" s="43"/>
      <c r="R80" s="43"/>
      <c r="S80" s="43"/>
    </row>
    <row r="81" ht="15.75" customHeight="1">
      <c r="A81" s="264" t="s">
        <v>192</v>
      </c>
      <c r="B81" s="123"/>
      <c r="C81" s="265"/>
      <c r="D81" s="43"/>
      <c r="E81" s="43"/>
      <c r="F81" s="43"/>
      <c r="G81" s="43"/>
      <c r="H81" s="43"/>
      <c r="I81" s="43"/>
      <c r="J81" s="43"/>
      <c r="P81" s="251">
        <f>B84/B83</f>
        <v>0.005668353928</v>
      </c>
      <c r="Q81" s="43"/>
      <c r="R81" s="43"/>
      <c r="S81" s="43"/>
    </row>
    <row r="82" ht="15.75" customHeight="1">
      <c r="A82" s="265"/>
      <c r="B82" s="123"/>
      <c r="C82" s="265"/>
      <c r="D82" s="43"/>
      <c r="E82" s="43"/>
      <c r="F82" s="43"/>
      <c r="G82" s="43"/>
      <c r="H82" s="43"/>
      <c r="I82" s="43"/>
      <c r="J82" s="43"/>
      <c r="P82" s="43"/>
      <c r="Q82" s="43"/>
      <c r="R82" s="43"/>
      <c r="S82" s="43"/>
    </row>
    <row r="83" ht="15.75" customHeight="1">
      <c r="A83" s="266" t="s">
        <v>193</v>
      </c>
      <c r="B83" s="267">
        <f>C76</f>
        <v>313945449.2</v>
      </c>
      <c r="C83" s="268" t="s">
        <v>194</v>
      </c>
      <c r="D83" s="62"/>
      <c r="E83" s="63"/>
      <c r="F83" s="43"/>
      <c r="G83" s="43"/>
      <c r="H83" s="43"/>
      <c r="I83" s="43"/>
      <c r="J83" s="43"/>
      <c r="P83" s="251">
        <f>B86/B83</f>
        <v>0.03365103003</v>
      </c>
      <c r="Q83" s="43"/>
      <c r="R83" s="43"/>
      <c r="S83" s="43"/>
    </row>
    <row r="84" ht="15.75" customHeight="1">
      <c r="A84" s="266" t="s">
        <v>195</v>
      </c>
      <c r="B84" s="269">
        <f>N29</f>
        <v>1779553.92</v>
      </c>
      <c r="C84" s="270" t="s">
        <v>196</v>
      </c>
      <c r="D84" s="110"/>
      <c r="E84" s="111"/>
      <c r="F84" s="43"/>
      <c r="G84" s="43"/>
      <c r="H84" s="43"/>
      <c r="I84" s="43"/>
      <c r="J84" s="43"/>
      <c r="P84" s="43"/>
      <c r="Q84" s="43"/>
      <c r="R84" s="43"/>
      <c r="S84" s="43"/>
    </row>
    <row r="85" ht="15.75" customHeight="1">
      <c r="A85" s="266" t="s">
        <v>197</v>
      </c>
      <c r="B85" s="269">
        <f>SUM(B83:B84)</f>
        <v>315725003.1</v>
      </c>
      <c r="C85" s="272" t="s">
        <v>198</v>
      </c>
      <c r="D85" s="110"/>
      <c r="E85" s="111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ht="15.75" customHeight="1">
      <c r="A86" s="266" t="s">
        <v>199</v>
      </c>
      <c r="B86" s="269">
        <f>N36</f>
        <v>10564587.74</v>
      </c>
      <c r="C86" s="433" t="s">
        <v>393</v>
      </c>
      <c r="D86" s="110"/>
      <c r="E86" s="111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ht="15.75" customHeight="1">
      <c r="A87" s="266" t="s">
        <v>201</v>
      </c>
      <c r="B87" s="269">
        <f>SUM(B85:B86)</f>
        <v>326289590.9</v>
      </c>
      <c r="C87" s="272" t="s">
        <v>202</v>
      </c>
      <c r="D87" s="110"/>
      <c r="E87" s="111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ht="15.75" customHeight="1">
      <c r="A91" s="76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ht="15.75" customHeight="1">
      <c r="A92" s="76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 ht="15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</row>
    <row r="271" ht="15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</row>
    <row r="272" ht="15.7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</row>
    <row r="273" ht="15.7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</row>
    <row r="274" ht="15.7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</row>
    <row r="275" ht="15.7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</row>
    <row r="276" ht="15.7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</row>
    <row r="277" ht="15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</row>
    <row r="278" ht="15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</row>
    <row r="279" ht="15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</row>
    <row r="280" ht="15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</row>
    <row r="281" ht="15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</row>
    <row r="282" ht="15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</row>
    <row r="283" ht="15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</row>
    <row r="284" ht="15.7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</row>
    <row r="285" ht="15.7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</row>
    <row r="286" ht="15.7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</row>
    <row r="287" ht="15.7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</row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83:E83"/>
    <mergeCell ref="C84:E84"/>
    <mergeCell ref="C85:E85"/>
    <mergeCell ref="C86:E86"/>
    <mergeCell ref="C87:E87"/>
  </mergeCell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37.86"/>
    <col customWidth="1" min="2" max="2" width="16.0"/>
    <col customWidth="1" min="3" max="3" width="16.14"/>
    <col customWidth="1" min="4" max="4" width="14.29"/>
    <col customWidth="1" min="5" max="5" width="14.14"/>
    <col customWidth="1" min="6" max="6" width="13.71"/>
    <col customWidth="1" min="7" max="7" width="13.57"/>
    <col customWidth="1" min="8" max="8" width="13.0"/>
    <col customWidth="1" min="9" max="9" width="13.86"/>
    <col customWidth="1" min="10" max="10" width="13.57"/>
    <col customWidth="1" min="11" max="11" width="13.86"/>
    <col customWidth="1" min="12" max="13" width="13.43"/>
    <col customWidth="1" min="14" max="14" width="14.86"/>
  </cols>
  <sheetData>
    <row r="1" ht="22.5" customHeight="1">
      <c r="A1" s="173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3"/>
      <c r="O1" s="76"/>
      <c r="P1" s="76"/>
      <c r="Q1" s="76"/>
      <c r="R1" s="76"/>
      <c r="S1" s="76"/>
    </row>
    <row r="2" ht="15.75" customHeight="1">
      <c r="A2" s="177" t="s">
        <v>124</v>
      </c>
      <c r="B2" s="178">
        <v>43405.0</v>
      </c>
      <c r="C2" s="178">
        <f t="shared" ref="C2:M2" si="1">B2+31</f>
        <v>43436</v>
      </c>
      <c r="D2" s="178">
        <f t="shared" si="1"/>
        <v>43467</v>
      </c>
      <c r="E2" s="178">
        <f t="shared" si="1"/>
        <v>43498</v>
      </c>
      <c r="F2" s="178">
        <f t="shared" si="1"/>
        <v>43529</v>
      </c>
      <c r="G2" s="178">
        <f t="shared" si="1"/>
        <v>43560</v>
      </c>
      <c r="H2" s="178">
        <f t="shared" si="1"/>
        <v>43591</v>
      </c>
      <c r="I2" s="178">
        <f t="shared" si="1"/>
        <v>43622</v>
      </c>
      <c r="J2" s="178">
        <f t="shared" si="1"/>
        <v>43653</v>
      </c>
      <c r="K2" s="178">
        <f t="shared" si="1"/>
        <v>43684</v>
      </c>
      <c r="L2" s="178">
        <f t="shared" si="1"/>
        <v>43715</v>
      </c>
      <c r="M2" s="178">
        <f t="shared" si="1"/>
        <v>43746</v>
      </c>
      <c r="N2" s="179" t="s">
        <v>125</v>
      </c>
      <c r="O2" s="76"/>
      <c r="P2" s="76"/>
      <c r="Q2" s="76"/>
      <c r="R2" s="76"/>
      <c r="S2" s="76"/>
    </row>
    <row r="3" ht="15.75" customHeight="1">
      <c r="A3" s="418" t="s">
        <v>129</v>
      </c>
      <c r="B3" s="186">
        <v>1.725398752E7</v>
      </c>
      <c r="C3" s="181">
        <v>1.758457781E7</v>
      </c>
      <c r="D3" s="181">
        <v>1.769979169E7</v>
      </c>
      <c r="E3" s="181">
        <v>1.771173345E7</v>
      </c>
      <c r="F3" s="181">
        <v>1.768909693E7</v>
      </c>
      <c r="G3" s="181">
        <v>1.7661611189999998E7</v>
      </c>
      <c r="H3" s="181">
        <v>1.7613150380000003E7</v>
      </c>
      <c r="I3" s="181">
        <v>2.025152746E7</v>
      </c>
      <c r="J3" s="181">
        <v>2.052485772E7</v>
      </c>
      <c r="K3" s="181">
        <v>1.955117212E7</v>
      </c>
      <c r="L3" s="181">
        <v>1.905873484E7</v>
      </c>
      <c r="M3" s="181">
        <v>1.886468089E7</v>
      </c>
      <c r="N3" s="182">
        <f t="shared" ref="N3:N16" si="2">SUM(B3:M3)</f>
        <v>221464922</v>
      </c>
      <c r="O3" s="43"/>
      <c r="P3" s="43"/>
      <c r="Q3" s="43"/>
      <c r="R3" s="43"/>
      <c r="S3" s="43"/>
    </row>
    <row r="4" ht="15.75" customHeight="1">
      <c r="A4" s="418" t="s">
        <v>134</v>
      </c>
      <c r="B4" s="186">
        <v>642052.9</v>
      </c>
      <c r="C4" s="181">
        <v>643843.27</v>
      </c>
      <c r="D4" s="181">
        <v>643843.27</v>
      </c>
      <c r="E4" s="181">
        <v>641912.47</v>
      </c>
      <c r="F4" s="181">
        <v>650794.05</v>
      </c>
      <c r="G4" s="181">
        <v>649635.58</v>
      </c>
      <c r="H4" s="181">
        <v>650794.05</v>
      </c>
      <c r="I4" s="181">
        <v>676825.14</v>
      </c>
      <c r="J4" s="181">
        <v>676825.14</v>
      </c>
      <c r="K4" s="181">
        <v>676825.14</v>
      </c>
      <c r="L4" s="181">
        <v>676825.12</v>
      </c>
      <c r="M4" s="181">
        <v>677066.09</v>
      </c>
      <c r="N4" s="182">
        <f t="shared" si="2"/>
        <v>7907242.22</v>
      </c>
      <c r="O4" s="43"/>
      <c r="P4" s="43"/>
      <c r="Q4" s="43"/>
      <c r="R4" s="43"/>
      <c r="S4" s="43"/>
    </row>
    <row r="5" ht="15.75" customHeight="1">
      <c r="A5" s="418" t="s">
        <v>135</v>
      </c>
      <c r="B5" s="186">
        <v>620344.56</v>
      </c>
      <c r="C5" s="181">
        <v>612688.35</v>
      </c>
      <c r="D5" s="181">
        <v>612855.42</v>
      </c>
      <c r="E5" s="181">
        <v>612921.09</v>
      </c>
      <c r="F5" s="181">
        <v>609261.22</v>
      </c>
      <c r="G5" s="181">
        <v>609294.05</v>
      </c>
      <c r="H5" s="181">
        <v>604077.32</v>
      </c>
      <c r="I5" s="181">
        <v>620301.18</v>
      </c>
      <c r="J5" s="181">
        <v>620719.34</v>
      </c>
      <c r="K5" s="181">
        <v>616562.65</v>
      </c>
      <c r="L5" s="181">
        <v>616040.96</v>
      </c>
      <c r="M5" s="181">
        <v>605350.23</v>
      </c>
      <c r="N5" s="182">
        <f t="shared" si="2"/>
        <v>7360416.37</v>
      </c>
      <c r="O5" s="43"/>
      <c r="P5" s="43"/>
      <c r="Q5" s="43"/>
      <c r="R5" s="43"/>
      <c r="S5" s="43"/>
    </row>
    <row r="6" ht="15.75" customHeight="1">
      <c r="A6" s="170" t="s">
        <v>136</v>
      </c>
      <c r="B6" s="186">
        <v>3729.92</v>
      </c>
      <c r="C6" s="181">
        <v>1.776406162E7</v>
      </c>
      <c r="D6" s="181">
        <v>0.0</v>
      </c>
      <c r="E6" s="181">
        <v>1930.76</v>
      </c>
      <c r="F6" s="181">
        <v>0.0</v>
      </c>
      <c r="G6" s="181">
        <v>7018.48</v>
      </c>
      <c r="H6" s="181">
        <v>0.0</v>
      </c>
      <c r="I6" s="181">
        <v>21479.12</v>
      </c>
      <c r="J6" s="181">
        <v>17731.11</v>
      </c>
      <c r="K6" s="181">
        <v>0.0</v>
      </c>
      <c r="L6" s="181">
        <v>16735.82</v>
      </c>
      <c r="M6" s="181">
        <v>23057.69</v>
      </c>
      <c r="N6" s="182">
        <f t="shared" si="2"/>
        <v>17855744.52</v>
      </c>
      <c r="O6" s="43"/>
      <c r="P6" s="43"/>
      <c r="Q6" s="43"/>
      <c r="R6" s="43"/>
      <c r="S6" s="43"/>
    </row>
    <row r="7" ht="15.75" customHeight="1">
      <c r="A7" s="170" t="s">
        <v>137</v>
      </c>
      <c r="B7" s="186">
        <v>27400.0</v>
      </c>
      <c r="C7" s="181">
        <v>28400.0</v>
      </c>
      <c r="D7" s="181">
        <v>28000.0</v>
      </c>
      <c r="E7" s="181">
        <v>22200.0</v>
      </c>
      <c r="F7" s="181">
        <v>31600.0</v>
      </c>
      <c r="G7" s="181">
        <v>30200.0</v>
      </c>
      <c r="H7" s="181">
        <v>21000.0</v>
      </c>
      <c r="I7" s="181">
        <v>22700.0</v>
      </c>
      <c r="J7" s="181">
        <v>23700.0</v>
      </c>
      <c r="K7" s="181">
        <v>21600.0</v>
      </c>
      <c r="L7" s="181">
        <v>19800.0</v>
      </c>
      <c r="M7" s="181">
        <f>16000</f>
        <v>16000</v>
      </c>
      <c r="N7" s="182">
        <f t="shared" si="2"/>
        <v>292600</v>
      </c>
      <c r="O7" s="43"/>
      <c r="P7" s="43"/>
      <c r="Q7" s="43"/>
      <c r="R7" s="43"/>
      <c r="S7" s="43"/>
    </row>
    <row r="8" ht="15.75" customHeight="1">
      <c r="A8" s="418" t="s">
        <v>138</v>
      </c>
      <c r="B8" s="186">
        <v>27200.0</v>
      </c>
      <c r="C8" s="181">
        <v>24000.0</v>
      </c>
      <c r="D8" s="181">
        <v>23400.0</v>
      </c>
      <c r="E8" s="181">
        <v>26000.0</v>
      </c>
      <c r="F8" s="181">
        <v>21300.0</v>
      </c>
      <c r="G8" s="181">
        <v>23600.0</v>
      </c>
      <c r="H8" s="181">
        <v>22400.0</v>
      </c>
      <c r="I8" s="181">
        <v>20800.0</v>
      </c>
      <c r="J8" s="181">
        <v>19400.0</v>
      </c>
      <c r="K8" s="181">
        <v>22400.0</v>
      </c>
      <c r="L8" s="181">
        <v>21400.0</v>
      </c>
      <c r="M8" s="181">
        <v>22800.0</v>
      </c>
      <c r="N8" s="182">
        <f t="shared" si="2"/>
        <v>274700</v>
      </c>
      <c r="O8" s="43"/>
      <c r="P8" s="43"/>
      <c r="Q8" s="43"/>
      <c r="R8" s="43"/>
      <c r="S8" s="43"/>
    </row>
    <row r="9" ht="15.75" customHeight="1">
      <c r="A9" s="170" t="s">
        <v>139</v>
      </c>
      <c r="B9" s="186">
        <v>3480.39</v>
      </c>
      <c r="C9" s="181">
        <v>0.0</v>
      </c>
      <c r="D9" s="181">
        <v>1096.94</v>
      </c>
      <c r="E9" s="181">
        <v>0.0</v>
      </c>
      <c r="F9" s="181">
        <v>0.0</v>
      </c>
      <c r="G9" s="181">
        <v>0.0</v>
      </c>
      <c r="H9" s="181">
        <v>0.0</v>
      </c>
      <c r="I9" s="181">
        <v>0.0</v>
      </c>
      <c r="J9" s="181">
        <v>12472.82</v>
      </c>
      <c r="K9" s="181">
        <v>0.0</v>
      </c>
      <c r="L9" s="181">
        <v>13704.21</v>
      </c>
      <c r="M9" s="181">
        <v>1695.6</v>
      </c>
      <c r="N9" s="182">
        <f t="shared" si="2"/>
        <v>32449.96</v>
      </c>
      <c r="O9" s="103"/>
      <c r="P9" s="43"/>
      <c r="Q9" s="43"/>
      <c r="R9" s="43"/>
      <c r="S9" s="43"/>
    </row>
    <row r="10" ht="15.75" customHeight="1">
      <c r="A10" s="422" t="s">
        <v>140</v>
      </c>
      <c r="B10" s="186">
        <v>84782.58</v>
      </c>
      <c r="C10" s="181">
        <v>63968.83</v>
      </c>
      <c r="D10" s="181">
        <v>37165.54</v>
      </c>
      <c r="E10" s="181">
        <v>36763.25</v>
      </c>
      <c r="F10" s="181">
        <v>72296.21</v>
      </c>
      <c r="G10" s="181">
        <v>34881.57</v>
      </c>
      <c r="H10" s="181">
        <v>36791.38</v>
      </c>
      <c r="I10" s="181">
        <v>70656.89</v>
      </c>
      <c r="J10" s="181">
        <v>47052.26</v>
      </c>
      <c r="K10" s="181">
        <v>47052.26</v>
      </c>
      <c r="L10" s="181">
        <v>47052.26</v>
      </c>
      <c r="M10" s="181">
        <f>33310.51+10384.16+3357.59</f>
        <v>47052.26</v>
      </c>
      <c r="N10" s="182">
        <f t="shared" si="2"/>
        <v>625515.29</v>
      </c>
      <c r="O10" s="435"/>
      <c r="P10" s="43"/>
      <c r="Q10" s="43"/>
      <c r="R10" s="43"/>
      <c r="S10" s="43"/>
    </row>
    <row r="11" ht="15.75" customHeight="1">
      <c r="A11" s="418" t="s">
        <v>379</v>
      </c>
      <c r="B11" s="186">
        <v>789762.76</v>
      </c>
      <c r="C11" s="181">
        <v>792401.87</v>
      </c>
      <c r="D11" s="181">
        <v>104576.98</v>
      </c>
      <c r="E11" s="181">
        <v>106473.51</v>
      </c>
      <c r="F11" s="181">
        <v>103682.84</v>
      </c>
      <c r="G11" s="181">
        <v>104423.28</v>
      </c>
      <c r="H11" s="181">
        <v>104974.41</v>
      </c>
      <c r="I11" s="181">
        <v>229780.28</v>
      </c>
      <c r="J11" s="181">
        <v>234835.31</v>
      </c>
      <c r="K11" s="181">
        <v>220893.44</v>
      </c>
      <c r="L11" s="181">
        <v>211177.57</v>
      </c>
      <c r="M11" s="181">
        <v>214289.24</v>
      </c>
      <c r="N11" s="182">
        <f t="shared" si="2"/>
        <v>3217271.49</v>
      </c>
      <c r="O11" s="43"/>
      <c r="P11" s="43"/>
      <c r="Q11" s="43"/>
      <c r="R11" s="43"/>
      <c r="S11" s="43"/>
    </row>
    <row r="12" ht="15.75" customHeight="1">
      <c r="A12" s="422" t="s">
        <v>395</v>
      </c>
      <c r="B12" s="419">
        <v>0.0</v>
      </c>
      <c r="C12" s="419">
        <v>0.0</v>
      </c>
      <c r="D12" s="181">
        <v>0.0</v>
      </c>
      <c r="E12" s="181">
        <v>0.0</v>
      </c>
      <c r="F12" s="181">
        <v>0.0</v>
      </c>
      <c r="G12" s="181">
        <v>0.0</v>
      </c>
      <c r="H12" s="181">
        <v>0.0</v>
      </c>
      <c r="I12" s="181">
        <v>0.0</v>
      </c>
      <c r="J12" s="181">
        <v>0.0</v>
      </c>
      <c r="K12" s="181">
        <v>0.0</v>
      </c>
      <c r="L12" s="181">
        <v>0.0</v>
      </c>
      <c r="M12" s="181">
        <v>0.0</v>
      </c>
      <c r="N12" s="182">
        <f t="shared" si="2"/>
        <v>0</v>
      </c>
      <c r="O12" s="43"/>
      <c r="P12" s="43"/>
      <c r="Q12" s="43"/>
      <c r="R12" s="43"/>
      <c r="S12" s="43"/>
    </row>
    <row r="13" ht="15.75" customHeight="1">
      <c r="A13" s="170" t="s">
        <v>381</v>
      </c>
      <c r="B13" s="186">
        <v>0.0</v>
      </c>
      <c r="C13" s="181">
        <v>0.0</v>
      </c>
      <c r="D13" s="181">
        <v>0.0</v>
      </c>
      <c r="E13" s="181">
        <v>0.0</v>
      </c>
      <c r="F13" s="181">
        <v>0.0</v>
      </c>
      <c r="G13" s="181">
        <v>0.0</v>
      </c>
      <c r="H13" s="181">
        <v>0.0</v>
      </c>
      <c r="I13" s="181">
        <v>0.0</v>
      </c>
      <c r="J13" s="181">
        <v>0.0</v>
      </c>
      <c r="K13" s="181">
        <v>0.0</v>
      </c>
      <c r="L13" s="181">
        <v>0.0</v>
      </c>
      <c r="M13" s="181">
        <v>0.0</v>
      </c>
      <c r="N13" s="182">
        <f t="shared" si="2"/>
        <v>0</v>
      </c>
      <c r="O13" s="43"/>
      <c r="P13" s="43"/>
      <c r="Q13" s="43"/>
      <c r="R13" s="43"/>
      <c r="S13" s="43"/>
    </row>
    <row r="14" ht="15.75" customHeight="1">
      <c r="A14" s="170" t="s">
        <v>382</v>
      </c>
      <c r="B14" s="186">
        <f>321051.17+181810.89</f>
        <v>502862.06</v>
      </c>
      <c r="C14" s="181">
        <f>321051.17+321051.17</f>
        <v>642102.34</v>
      </c>
      <c r="D14" s="181">
        <v>357011.63</v>
      </c>
      <c r="E14" s="181">
        <v>386103.55</v>
      </c>
      <c r="F14" s="181">
        <v>385446.72</v>
      </c>
      <c r="G14" s="181">
        <v>385454.14</v>
      </c>
      <c r="H14" s="181">
        <v>385454.14</v>
      </c>
      <c r="I14" s="181">
        <v>412045.82</v>
      </c>
      <c r="J14" s="181">
        <v>394291.53</v>
      </c>
      <c r="K14" s="181">
        <v>394291.53</v>
      </c>
      <c r="L14" s="181">
        <v>396417.66</v>
      </c>
      <c r="M14" s="181">
        <v>396151.89</v>
      </c>
      <c r="N14" s="182">
        <f t="shared" si="2"/>
        <v>5037633.01</v>
      </c>
      <c r="O14" s="43"/>
      <c r="P14" s="43"/>
      <c r="Q14" s="43"/>
      <c r="R14" s="43"/>
      <c r="S14" s="43"/>
    </row>
    <row r="15" ht="15.75" customHeight="1">
      <c r="A15" s="170" t="s">
        <v>383</v>
      </c>
      <c r="B15" s="186">
        <v>134810.32</v>
      </c>
      <c r="C15" s="181">
        <f>134810.32+134810.32</f>
        <v>269620.64</v>
      </c>
      <c r="D15" s="181">
        <v>138294.53</v>
      </c>
      <c r="E15" s="181">
        <v>109202.61</v>
      </c>
      <c r="F15" s="181">
        <v>109202.61</v>
      </c>
      <c r="G15" s="181">
        <v>109202.61</v>
      </c>
      <c r="H15" s="181">
        <v>109202.61</v>
      </c>
      <c r="I15" s="181">
        <v>122346.2</v>
      </c>
      <c r="J15" s="181">
        <v>113570.7</v>
      </c>
      <c r="K15" s="181">
        <v>113570.7</v>
      </c>
      <c r="L15" s="181">
        <v>113570.7</v>
      </c>
      <c r="M15" s="181">
        <v>113570.7</v>
      </c>
      <c r="N15" s="182">
        <f t="shared" si="2"/>
        <v>1556164.93</v>
      </c>
      <c r="O15" s="43"/>
      <c r="P15" s="43"/>
      <c r="Q15" s="43"/>
      <c r="R15" s="43"/>
      <c r="S15" s="43"/>
    </row>
    <row r="16" ht="15.75" customHeight="1">
      <c r="A16" s="170"/>
      <c r="B16" s="419"/>
      <c r="C16" s="181"/>
      <c r="D16" s="186"/>
      <c r="E16" s="181"/>
      <c r="F16" s="181"/>
      <c r="G16" s="181"/>
      <c r="H16" s="181"/>
      <c r="I16" s="181"/>
      <c r="J16" s="181"/>
      <c r="K16" s="181"/>
      <c r="L16" s="181"/>
      <c r="M16" s="181"/>
      <c r="N16" s="182">
        <f t="shared" si="2"/>
        <v>0</v>
      </c>
      <c r="O16" s="43"/>
      <c r="P16" s="43"/>
      <c r="Q16" s="43"/>
      <c r="R16" s="43"/>
      <c r="S16" s="43"/>
    </row>
    <row r="17" ht="15.75" customHeight="1">
      <c r="A17" s="198" t="s">
        <v>141</v>
      </c>
      <c r="B17" s="199">
        <f t="shared" ref="B17:M17" si="3">ROUND(SUM(B3:B10)-SUM(B11:B15),2)</f>
        <v>17235542.73</v>
      </c>
      <c r="C17" s="199">
        <f t="shared" si="3"/>
        <v>35017415.03</v>
      </c>
      <c r="D17" s="199">
        <f t="shared" si="3"/>
        <v>18446269.72</v>
      </c>
      <c r="E17" s="199">
        <f t="shared" si="3"/>
        <v>18451681.35</v>
      </c>
      <c r="F17" s="199">
        <f t="shared" si="3"/>
        <v>18476016.24</v>
      </c>
      <c r="G17" s="199">
        <f t="shared" si="3"/>
        <v>18417160.84</v>
      </c>
      <c r="H17" s="199">
        <f t="shared" si="3"/>
        <v>18348581.97</v>
      </c>
      <c r="I17" s="199">
        <f t="shared" si="3"/>
        <v>20920117.49</v>
      </c>
      <c r="J17" s="199">
        <f t="shared" si="3"/>
        <v>21200060.85</v>
      </c>
      <c r="K17" s="199">
        <f t="shared" si="3"/>
        <v>20206856.5</v>
      </c>
      <c r="L17" s="199">
        <f t="shared" si="3"/>
        <v>19749127.28</v>
      </c>
      <c r="M17" s="199">
        <f t="shared" si="3"/>
        <v>19533690.93</v>
      </c>
      <c r="N17" s="199">
        <f>ROUND(SUM(B17:M17),2)</f>
        <v>246002520.9</v>
      </c>
      <c r="O17" s="76"/>
      <c r="P17" s="76"/>
      <c r="Q17" s="76"/>
      <c r="R17" s="76"/>
      <c r="S17" s="76"/>
    </row>
    <row r="18" ht="15.75" customHeight="1">
      <c r="A18" s="423" t="s">
        <v>384</v>
      </c>
      <c r="B18" s="425">
        <v>1.723554273E7</v>
      </c>
      <c r="C18" s="202">
        <v>3.501741503E7</v>
      </c>
      <c r="D18" s="202">
        <v>1.844626972E7</v>
      </c>
      <c r="E18" s="202">
        <v>1.845168135E7</v>
      </c>
      <c r="F18" s="202">
        <v>1.847601624E7</v>
      </c>
      <c r="G18" s="202">
        <v>1.841716084E7</v>
      </c>
      <c r="H18" s="202">
        <v>1.834858197E7</v>
      </c>
      <c r="I18" s="202">
        <v>2.092011749E7</v>
      </c>
      <c r="J18" s="202">
        <v>2.120006105E7</v>
      </c>
      <c r="K18" s="202">
        <v>2.02068563E7</v>
      </c>
      <c r="L18" s="202">
        <v>1.974912728E7</v>
      </c>
      <c r="M18" s="202">
        <v>1.953369093E7</v>
      </c>
      <c r="N18" s="205">
        <f t="shared" ref="N18:N19" si="5">SUM(B18:M18)</f>
        <v>246002520.9</v>
      </c>
      <c r="O18" s="43"/>
      <c r="P18" s="43"/>
      <c r="Q18" s="43"/>
      <c r="R18" s="43"/>
      <c r="S18" s="43"/>
    </row>
    <row r="19" ht="15.75" customHeight="1">
      <c r="A19" s="198" t="s">
        <v>143</v>
      </c>
      <c r="B19" s="199">
        <f t="shared" ref="B19:M19" si="4">B17-B18</f>
        <v>0</v>
      </c>
      <c r="C19" s="199">
        <f t="shared" si="4"/>
        <v>0</v>
      </c>
      <c r="D19" s="199">
        <f t="shared" si="4"/>
        <v>0</v>
      </c>
      <c r="E19" s="199">
        <f t="shared" si="4"/>
        <v>0</v>
      </c>
      <c r="F19" s="199">
        <f t="shared" si="4"/>
        <v>0</v>
      </c>
      <c r="G19" s="199">
        <f t="shared" si="4"/>
        <v>0</v>
      </c>
      <c r="H19" s="199">
        <f t="shared" si="4"/>
        <v>0</v>
      </c>
      <c r="I19" s="199">
        <f t="shared" si="4"/>
        <v>0</v>
      </c>
      <c r="J19" s="199">
        <f t="shared" si="4"/>
        <v>-0.1999999993</v>
      </c>
      <c r="K19" s="199">
        <f t="shared" si="4"/>
        <v>0.1999999993</v>
      </c>
      <c r="L19" s="199">
        <f t="shared" si="4"/>
        <v>0</v>
      </c>
      <c r="M19" s="199">
        <f t="shared" si="4"/>
        <v>0</v>
      </c>
      <c r="N19" s="199">
        <f t="shared" si="5"/>
        <v>0</v>
      </c>
      <c r="O19" s="76"/>
      <c r="P19" s="76"/>
      <c r="Q19" s="76"/>
      <c r="R19" s="76"/>
      <c r="S19" s="76"/>
    </row>
    <row r="20" ht="15.75" customHeight="1">
      <c r="A20" s="43"/>
      <c r="B20" s="43"/>
      <c r="C20" s="43"/>
      <c r="D20" s="43"/>
      <c r="E20" s="43"/>
      <c r="F20" s="43"/>
      <c r="G20" s="43"/>
      <c r="H20" s="43"/>
      <c r="I20" s="119"/>
      <c r="J20" s="119"/>
      <c r="K20" s="119"/>
      <c r="L20" s="119"/>
      <c r="M20" s="119"/>
      <c r="N20" s="119"/>
      <c r="O20" s="43"/>
      <c r="P20" s="43"/>
      <c r="Q20" s="43"/>
      <c r="R20" s="43"/>
      <c r="S20" s="43"/>
    </row>
    <row r="21" ht="15.75" customHeight="1">
      <c r="A21" s="426" t="s">
        <v>144</v>
      </c>
      <c r="B21" s="178">
        <f t="shared" ref="B21:M21" si="6">B2</f>
        <v>43405</v>
      </c>
      <c r="C21" s="178">
        <f t="shared" si="6"/>
        <v>43436</v>
      </c>
      <c r="D21" s="178">
        <f t="shared" si="6"/>
        <v>43467</v>
      </c>
      <c r="E21" s="178">
        <f t="shared" si="6"/>
        <v>43498</v>
      </c>
      <c r="F21" s="178">
        <f t="shared" si="6"/>
        <v>43529</v>
      </c>
      <c r="G21" s="178">
        <f t="shared" si="6"/>
        <v>43560</v>
      </c>
      <c r="H21" s="178">
        <f t="shared" si="6"/>
        <v>43591</v>
      </c>
      <c r="I21" s="178">
        <f t="shared" si="6"/>
        <v>43622</v>
      </c>
      <c r="J21" s="178">
        <f t="shared" si="6"/>
        <v>43653</v>
      </c>
      <c r="K21" s="178">
        <f t="shared" si="6"/>
        <v>43684</v>
      </c>
      <c r="L21" s="178">
        <f t="shared" si="6"/>
        <v>43715</v>
      </c>
      <c r="M21" s="178">
        <f t="shared" si="6"/>
        <v>43746</v>
      </c>
      <c r="N21" s="179" t="s">
        <v>125</v>
      </c>
      <c r="O21" s="43"/>
      <c r="P21" s="43"/>
      <c r="Q21" s="43"/>
      <c r="R21" s="43"/>
      <c r="S21" s="43"/>
    </row>
    <row r="22" ht="15.75" customHeight="1">
      <c r="A22" s="170" t="s">
        <v>385</v>
      </c>
      <c r="B22" s="186">
        <v>4610910.62</v>
      </c>
      <c r="C22" s="181">
        <v>9326373.69</v>
      </c>
      <c r="D22" s="181">
        <v>4914358.14</v>
      </c>
      <c r="E22" s="181">
        <v>4914358.14</v>
      </c>
      <c r="F22" s="181">
        <v>4906654.12</v>
      </c>
      <c r="G22" s="181">
        <v>4905214.55</v>
      </c>
      <c r="H22" s="181">
        <v>4887996.8</v>
      </c>
      <c r="I22" s="181">
        <v>5564934.79</v>
      </c>
      <c r="J22" s="181">
        <v>5231190.38</v>
      </c>
      <c r="K22" s="181">
        <v>5210430.0</v>
      </c>
      <c r="L22" s="181">
        <v>5216741.97</v>
      </c>
      <c r="M22" s="181">
        <v>5192162.39</v>
      </c>
      <c r="N22" s="182">
        <f t="shared" ref="N22:N23" si="7">SUM(B22:M22)</f>
        <v>64881325.59</v>
      </c>
      <c r="O22" s="43"/>
      <c r="P22" s="43"/>
      <c r="Q22" s="43"/>
      <c r="R22" s="43"/>
      <c r="S22" s="43"/>
    </row>
    <row r="23" ht="15.75" customHeight="1">
      <c r="A23" s="427" t="s">
        <v>386</v>
      </c>
      <c r="B23" s="210">
        <v>146703.99</v>
      </c>
      <c r="C23" s="210">
        <v>301765.81</v>
      </c>
      <c r="D23" s="210">
        <v>149635.67</v>
      </c>
      <c r="E23" s="210">
        <v>153213.08</v>
      </c>
      <c r="F23" s="210">
        <v>150933.82</v>
      </c>
      <c r="G23" s="210">
        <v>153073.16</v>
      </c>
      <c r="H23" s="210">
        <v>151055.08</v>
      </c>
      <c r="I23" s="210">
        <v>175754.9</v>
      </c>
      <c r="J23" s="210">
        <v>156319.13</v>
      </c>
      <c r="K23" s="210">
        <v>156912.14</v>
      </c>
      <c r="L23" s="210">
        <v>158691.21</v>
      </c>
      <c r="M23" s="210">
        <v>161333.33</v>
      </c>
      <c r="N23" s="211">
        <f t="shared" si="7"/>
        <v>2015391.32</v>
      </c>
      <c r="O23" s="43"/>
      <c r="P23" s="43"/>
      <c r="Q23" s="43"/>
      <c r="R23" s="43"/>
      <c r="S23" s="43"/>
    </row>
    <row r="24" ht="15.75" customHeight="1">
      <c r="A24" s="198" t="s">
        <v>147</v>
      </c>
      <c r="B24" s="199">
        <f t="shared" ref="B24:M24" si="8">ROUND(SUM(B22:B23),2)</f>
        <v>4757614.61</v>
      </c>
      <c r="C24" s="199">
        <f t="shared" si="8"/>
        <v>9628139.5</v>
      </c>
      <c r="D24" s="199">
        <f t="shared" si="8"/>
        <v>5063993.81</v>
      </c>
      <c r="E24" s="199">
        <f t="shared" si="8"/>
        <v>5067571.22</v>
      </c>
      <c r="F24" s="199">
        <f t="shared" si="8"/>
        <v>5057587.94</v>
      </c>
      <c r="G24" s="199">
        <f t="shared" si="8"/>
        <v>5058287.71</v>
      </c>
      <c r="H24" s="199">
        <f t="shared" si="8"/>
        <v>5039051.88</v>
      </c>
      <c r="I24" s="199">
        <f t="shared" si="8"/>
        <v>5740689.69</v>
      </c>
      <c r="J24" s="199">
        <f t="shared" si="8"/>
        <v>5387509.51</v>
      </c>
      <c r="K24" s="199">
        <f t="shared" si="8"/>
        <v>5367342.14</v>
      </c>
      <c r="L24" s="199">
        <f t="shared" si="8"/>
        <v>5375433.18</v>
      </c>
      <c r="M24" s="199">
        <f t="shared" si="8"/>
        <v>5353495.72</v>
      </c>
      <c r="N24" s="199">
        <f>ROUND(SUM(B24:M24),2)</f>
        <v>66896716.91</v>
      </c>
      <c r="O24" s="76"/>
      <c r="P24" s="76"/>
      <c r="Q24" s="76"/>
      <c r="R24" s="76"/>
      <c r="S24" s="76"/>
    </row>
    <row r="25" ht="15.75" customHeight="1">
      <c r="A25" s="171" t="s">
        <v>387</v>
      </c>
      <c r="B25" s="186">
        <f>88836.53+49088.9+36398.75</f>
        <v>174324.18</v>
      </c>
      <c r="C25" s="181">
        <f>88836.53+88836.53+36398.75+36398.75</f>
        <v>250470.56</v>
      </c>
      <c r="D25" s="210"/>
      <c r="E25" s="210"/>
      <c r="F25" s="210"/>
      <c r="G25" s="210"/>
      <c r="H25" s="210"/>
      <c r="I25" s="210"/>
      <c r="J25" s="210"/>
      <c r="K25" s="210">
        <v>0.0</v>
      </c>
      <c r="L25" s="210">
        <v>0.0</v>
      </c>
      <c r="M25" s="210">
        <v>0.0</v>
      </c>
      <c r="N25" s="211">
        <f t="shared" ref="N25:N26" si="10">SUM(B25:M25)</f>
        <v>424794.74</v>
      </c>
      <c r="O25" s="43"/>
      <c r="P25" s="43"/>
      <c r="Q25" s="43"/>
      <c r="R25" s="43"/>
      <c r="S25" s="43"/>
    </row>
    <row r="26" ht="15.75" customHeight="1">
      <c r="A26" s="43" t="s">
        <v>389</v>
      </c>
      <c r="B26" s="210">
        <v>0.0</v>
      </c>
      <c r="C26" s="210">
        <v>0.0</v>
      </c>
      <c r="D26" s="210">
        <v>143475.0</v>
      </c>
      <c r="E26" s="210">
        <v>127765.38</v>
      </c>
      <c r="F26" s="210">
        <v>135760.96</v>
      </c>
      <c r="G26" s="210">
        <v>135947.15</v>
      </c>
      <c r="H26" s="210">
        <v>135947.15</v>
      </c>
      <c r="I26" s="210">
        <v>146940.84</v>
      </c>
      <c r="J26" s="210">
        <v>139777.71</v>
      </c>
      <c r="K26" s="210">
        <v>139777.81</v>
      </c>
      <c r="L26" s="210">
        <f t="shared" ref="L26:M26" si="9">109113.7+30664.06</f>
        <v>139777.76</v>
      </c>
      <c r="M26" s="210">
        <f t="shared" si="9"/>
        <v>139777.76</v>
      </c>
      <c r="N26" s="211">
        <f t="shared" si="10"/>
        <v>1384947.52</v>
      </c>
      <c r="O26" s="43"/>
      <c r="P26" s="43"/>
      <c r="Q26" s="43"/>
      <c r="R26" s="43"/>
      <c r="S26" s="43"/>
    </row>
    <row r="27" ht="15.75" customHeight="1">
      <c r="A27" s="439" t="s">
        <v>149</v>
      </c>
      <c r="B27" s="239">
        <f t="shared" ref="B27:M27" si="11">ROUND(B24-B25-B26,2)</f>
        <v>4583290.43</v>
      </c>
      <c r="C27" s="239">
        <f t="shared" si="11"/>
        <v>9377668.94</v>
      </c>
      <c r="D27" s="239">
        <f t="shared" si="11"/>
        <v>4920518.81</v>
      </c>
      <c r="E27" s="239">
        <f t="shared" si="11"/>
        <v>4939805.84</v>
      </c>
      <c r="F27" s="239">
        <f t="shared" si="11"/>
        <v>4921826.98</v>
      </c>
      <c r="G27" s="239">
        <f t="shared" si="11"/>
        <v>4922340.56</v>
      </c>
      <c r="H27" s="239">
        <f t="shared" si="11"/>
        <v>4903104.73</v>
      </c>
      <c r="I27" s="239">
        <f t="shared" si="11"/>
        <v>5593748.85</v>
      </c>
      <c r="J27" s="239">
        <f t="shared" si="11"/>
        <v>5247731.8</v>
      </c>
      <c r="K27" s="239">
        <f t="shared" si="11"/>
        <v>5227564.33</v>
      </c>
      <c r="L27" s="239">
        <f t="shared" si="11"/>
        <v>5235655.42</v>
      </c>
      <c r="M27" s="239">
        <f t="shared" si="11"/>
        <v>5213717.96</v>
      </c>
      <c r="N27" s="239">
        <f>ROUND(SUM(B27:M27),2)</f>
        <v>65086974.65</v>
      </c>
      <c r="O27" s="220"/>
      <c r="P27" s="220"/>
      <c r="Q27" s="220"/>
      <c r="R27" s="220"/>
      <c r="S27" s="220"/>
    </row>
    <row r="28" ht="15.75" customHeight="1">
      <c r="A28" s="428" t="s">
        <v>384</v>
      </c>
      <c r="B28" s="223">
        <v>4583290.43</v>
      </c>
      <c r="C28" s="223">
        <v>9377668.94</v>
      </c>
      <c r="D28" s="223">
        <v>4920518.81</v>
      </c>
      <c r="E28" s="223">
        <v>4939805.84</v>
      </c>
      <c r="F28" s="223">
        <v>4921826.98</v>
      </c>
      <c r="G28" s="223">
        <v>4922340.56</v>
      </c>
      <c r="H28" s="223">
        <v>4903104.73</v>
      </c>
      <c r="I28" s="223">
        <v>5593748.85</v>
      </c>
      <c r="J28" s="223">
        <v>5247731.8</v>
      </c>
      <c r="K28" s="223">
        <v>5227564.33</v>
      </c>
      <c r="L28" s="223">
        <v>5235655.42</v>
      </c>
      <c r="M28" s="223">
        <v>5213717.96</v>
      </c>
      <c r="N28" s="224">
        <f>SUM(B28:M28)</f>
        <v>65086974.65</v>
      </c>
      <c r="O28" s="43"/>
      <c r="P28" s="43"/>
      <c r="Q28" s="43"/>
      <c r="R28" s="43"/>
      <c r="S28" s="43"/>
    </row>
    <row r="29" ht="15.75" customHeight="1">
      <c r="A29" s="225" t="s">
        <v>143</v>
      </c>
      <c r="B29" s="199">
        <f t="shared" ref="B29:M29" si="12">B27-B28</f>
        <v>0</v>
      </c>
      <c r="C29" s="199">
        <f t="shared" si="12"/>
        <v>0</v>
      </c>
      <c r="D29" s="199">
        <f t="shared" si="12"/>
        <v>0</v>
      </c>
      <c r="E29" s="199">
        <f t="shared" si="12"/>
        <v>0</v>
      </c>
      <c r="F29" s="199">
        <f t="shared" si="12"/>
        <v>0</v>
      </c>
      <c r="G29" s="199">
        <f t="shared" si="12"/>
        <v>0</v>
      </c>
      <c r="H29" s="199">
        <f t="shared" si="12"/>
        <v>0</v>
      </c>
      <c r="I29" s="199">
        <f t="shared" si="12"/>
        <v>0</v>
      </c>
      <c r="J29" s="199">
        <f t="shared" si="12"/>
        <v>0</v>
      </c>
      <c r="K29" s="199">
        <f t="shared" si="12"/>
        <v>0</v>
      </c>
      <c r="L29" s="199">
        <f t="shared" si="12"/>
        <v>0</v>
      </c>
      <c r="M29" s="199">
        <f t="shared" si="12"/>
        <v>0</v>
      </c>
      <c r="N29" s="200">
        <f>N24-N28</f>
        <v>1809742.26</v>
      </c>
      <c r="O29" s="76"/>
      <c r="P29" s="76"/>
      <c r="Q29" s="76"/>
      <c r="R29" s="76"/>
      <c r="S29" s="76"/>
    </row>
    <row r="30" ht="15.75" customHeight="1">
      <c r="A30" s="43"/>
      <c r="B30" s="43"/>
      <c r="C30" s="43"/>
      <c r="D30" s="43"/>
      <c r="E30" s="43"/>
      <c r="F30" s="119"/>
      <c r="G30" s="119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ht="15.75" customHeight="1">
      <c r="A31" s="227" t="s">
        <v>150</v>
      </c>
      <c r="B31" s="228">
        <f t="shared" ref="B31:M31" si="13">B2</f>
        <v>43405</v>
      </c>
      <c r="C31" s="228">
        <f t="shared" si="13"/>
        <v>43436</v>
      </c>
      <c r="D31" s="228">
        <f t="shared" si="13"/>
        <v>43467</v>
      </c>
      <c r="E31" s="228">
        <f t="shared" si="13"/>
        <v>43498</v>
      </c>
      <c r="F31" s="228">
        <f t="shared" si="13"/>
        <v>43529</v>
      </c>
      <c r="G31" s="228">
        <f t="shared" si="13"/>
        <v>43560</v>
      </c>
      <c r="H31" s="228">
        <f t="shared" si="13"/>
        <v>43591</v>
      </c>
      <c r="I31" s="228">
        <f t="shared" si="13"/>
        <v>43622</v>
      </c>
      <c r="J31" s="228">
        <f t="shared" si="13"/>
        <v>43653</v>
      </c>
      <c r="K31" s="228">
        <f t="shared" si="13"/>
        <v>43684</v>
      </c>
      <c r="L31" s="228">
        <f t="shared" si="13"/>
        <v>43715</v>
      </c>
      <c r="M31" s="228">
        <f t="shared" si="13"/>
        <v>43746</v>
      </c>
      <c r="N31" s="229" t="s">
        <v>125</v>
      </c>
      <c r="O31" s="76"/>
      <c r="P31" s="76"/>
      <c r="Q31" s="76"/>
      <c r="R31" s="76"/>
      <c r="S31" s="76"/>
    </row>
    <row r="32" ht="24.75" customHeight="1">
      <c r="A32" s="429" t="s">
        <v>133</v>
      </c>
      <c r="B32" s="430">
        <v>267302.34</v>
      </c>
      <c r="C32" s="210">
        <v>522552.51</v>
      </c>
      <c r="D32" s="210">
        <f t="shared" ref="D32:E32" si="14">250320.4+26279.8+7981.5+3118.81</f>
        <v>287700.51</v>
      </c>
      <c r="E32" s="210">
        <f t="shared" si="14"/>
        <v>287700.51</v>
      </c>
      <c r="F32" s="210">
        <f>253670.36+26279.8+7981.5+3118.81</f>
        <v>291050.47</v>
      </c>
      <c r="G32" s="210">
        <f>259480.37+35047.54+7981.5+3118.81</f>
        <v>305628.22</v>
      </c>
      <c r="H32" s="210">
        <v>307243.83</v>
      </c>
      <c r="I32" s="210">
        <v>333957.41</v>
      </c>
      <c r="J32" s="210">
        <v>338451.53</v>
      </c>
      <c r="K32" s="210">
        <v>322397.62</v>
      </c>
      <c r="L32" s="210">
        <v>378043.59</v>
      </c>
      <c r="M32" s="210">
        <v>329184.18</v>
      </c>
      <c r="N32" s="211">
        <f t="shared" ref="N32:N35" si="15">SUM(B32:M32)</f>
        <v>3971212.72</v>
      </c>
      <c r="O32" s="43"/>
      <c r="P32" s="43"/>
      <c r="Q32" s="43"/>
      <c r="R32" s="43"/>
      <c r="S32" s="43"/>
    </row>
    <row r="33" ht="24.0" customHeight="1">
      <c r="A33" s="429" t="s">
        <v>151</v>
      </c>
      <c r="B33" s="430">
        <v>203903.16</v>
      </c>
      <c r="C33" s="210">
        <v>195190.49</v>
      </c>
      <c r="D33" s="210">
        <f>2596954.62+337766.69+40304.27+11798.43-40651.79-14925.39</f>
        <v>2931246.83</v>
      </c>
      <c r="E33" s="210">
        <v>325862.95</v>
      </c>
      <c r="F33" s="210">
        <v>262304.01</v>
      </c>
      <c r="G33" s="210">
        <v>243451.26</v>
      </c>
      <c r="H33" s="210">
        <v>497342.61</v>
      </c>
      <c r="I33" s="210">
        <v>403837.44</v>
      </c>
      <c r="J33" s="210">
        <v>921656.27</v>
      </c>
      <c r="K33" s="210">
        <f>143735.35</f>
        <v>143735.35</v>
      </c>
      <c r="L33" s="210">
        <v>334798.55</v>
      </c>
      <c r="M33" s="210">
        <v>258263.61</v>
      </c>
      <c r="N33" s="211">
        <f t="shared" si="15"/>
        <v>6721592.53</v>
      </c>
      <c r="O33" s="43"/>
      <c r="P33" s="43"/>
      <c r="Q33" s="43"/>
      <c r="R33" s="43"/>
      <c r="S33" s="43"/>
    </row>
    <row r="34" ht="23.25" customHeight="1">
      <c r="A34" s="429" t="s">
        <v>152</v>
      </c>
      <c r="B34" s="430">
        <v>18846.37</v>
      </c>
      <c r="C34" s="430">
        <v>31727.09</v>
      </c>
      <c r="D34" s="210">
        <v>20314.06</v>
      </c>
      <c r="E34" s="210">
        <v>66182.12</v>
      </c>
      <c r="F34" s="210">
        <v>0.0</v>
      </c>
      <c r="G34" s="210">
        <v>10946.07</v>
      </c>
      <c r="H34" s="210">
        <v>18956.67</v>
      </c>
      <c r="I34" s="210">
        <v>0.0</v>
      </c>
      <c r="J34" s="210">
        <v>25461.14</v>
      </c>
      <c r="K34" s="210">
        <v>41880.62</v>
      </c>
      <c r="L34" s="210">
        <v>11383.91</v>
      </c>
      <c r="M34" s="210">
        <v>9759.87</v>
      </c>
      <c r="N34" s="211">
        <f t="shared" si="15"/>
        <v>255457.92</v>
      </c>
      <c r="O34" s="43"/>
      <c r="P34" s="43"/>
      <c r="Q34" s="43"/>
      <c r="R34" s="43"/>
      <c r="S34" s="43"/>
    </row>
    <row r="35" ht="22.5" customHeight="1">
      <c r="A35" s="429" t="s">
        <v>153</v>
      </c>
      <c r="B35" s="430">
        <v>19729.21</v>
      </c>
      <c r="C35" s="430">
        <v>26345.63</v>
      </c>
      <c r="D35" s="210">
        <v>0.0</v>
      </c>
      <c r="E35" s="210">
        <f>11493.37+5946.41</f>
        <v>17439.78</v>
      </c>
      <c r="F35" s="210">
        <v>0.0</v>
      </c>
      <c r="G35" s="210">
        <v>8863.13</v>
      </c>
      <c r="H35" s="210">
        <f>31751.36+10529.39</f>
        <v>42280.75</v>
      </c>
      <c r="I35" s="210">
        <f>13077.87+421.81</f>
        <v>13499.68</v>
      </c>
      <c r="J35" s="210">
        <v>0.0</v>
      </c>
      <c r="K35" s="210">
        <v>1043.59</v>
      </c>
      <c r="L35" s="210">
        <v>0.0</v>
      </c>
      <c r="M35" s="210">
        <v>0.0</v>
      </c>
      <c r="N35" s="211">
        <f t="shared" si="15"/>
        <v>129201.77</v>
      </c>
      <c r="O35" s="43"/>
      <c r="P35" s="43"/>
      <c r="Q35" s="43"/>
      <c r="R35" s="43"/>
      <c r="S35" s="43"/>
    </row>
    <row r="36" ht="15.75" customHeight="1">
      <c r="A36" s="179" t="s">
        <v>154</v>
      </c>
      <c r="B36" s="236">
        <f t="shared" ref="B36:M36" si="16">ROUND(B32+B33-B34-B35,2)</f>
        <v>432629.92</v>
      </c>
      <c r="C36" s="236">
        <f t="shared" si="16"/>
        <v>659670.28</v>
      </c>
      <c r="D36" s="236">
        <f t="shared" si="16"/>
        <v>3198633.28</v>
      </c>
      <c r="E36" s="236">
        <f t="shared" si="16"/>
        <v>529941.56</v>
      </c>
      <c r="F36" s="236">
        <f t="shared" si="16"/>
        <v>553354.48</v>
      </c>
      <c r="G36" s="236">
        <f t="shared" si="16"/>
        <v>529270.28</v>
      </c>
      <c r="H36" s="236">
        <f t="shared" si="16"/>
        <v>743349.02</v>
      </c>
      <c r="I36" s="236">
        <f t="shared" si="16"/>
        <v>724295.17</v>
      </c>
      <c r="J36" s="236">
        <f t="shared" si="16"/>
        <v>1234646.66</v>
      </c>
      <c r="K36" s="236">
        <f t="shared" si="16"/>
        <v>423208.76</v>
      </c>
      <c r="L36" s="236">
        <f t="shared" si="16"/>
        <v>701458.23</v>
      </c>
      <c r="M36" s="236">
        <f t="shared" si="16"/>
        <v>577687.92</v>
      </c>
      <c r="N36" s="237">
        <f>ROUND(SUM(B36:M36),2)</f>
        <v>10308145.56</v>
      </c>
      <c r="O36" s="250"/>
      <c r="P36" s="76"/>
      <c r="Q36" s="76"/>
      <c r="R36" s="76"/>
      <c r="S36" s="76"/>
    </row>
    <row r="37" ht="15.75" customHeight="1">
      <c r="A37" s="43" t="s">
        <v>155</v>
      </c>
      <c r="B37" s="210">
        <v>267302.34</v>
      </c>
      <c r="C37" s="210">
        <v>522552.51</v>
      </c>
      <c r="D37" s="210">
        <v>287700.51</v>
      </c>
      <c r="E37" s="210">
        <v>287700.51</v>
      </c>
      <c r="F37" s="210">
        <v>291050.47</v>
      </c>
      <c r="G37" s="210">
        <v>305628.22</v>
      </c>
      <c r="H37" s="210">
        <v>307243.83</v>
      </c>
      <c r="I37" s="210">
        <v>333957.41</v>
      </c>
      <c r="J37" s="210">
        <v>338451.53</v>
      </c>
      <c r="K37" s="210">
        <v>322397.62</v>
      </c>
      <c r="L37" s="210">
        <v>378043.59</v>
      </c>
      <c r="M37" s="210">
        <v>329184.18</v>
      </c>
      <c r="N37" s="216">
        <f t="shared" ref="N37:N40" si="18">SUM(B37:M37)</f>
        <v>3971212.72</v>
      </c>
      <c r="O37" s="43"/>
      <c r="P37" s="43"/>
      <c r="Q37" s="43"/>
      <c r="R37" s="43"/>
      <c r="S37" s="43"/>
    </row>
    <row r="38" ht="15.75" customHeight="1">
      <c r="A38" s="225" t="s">
        <v>143</v>
      </c>
      <c r="B38" s="239">
        <f t="shared" ref="B38:M38" si="17">B32-B37</f>
        <v>0</v>
      </c>
      <c r="C38" s="239">
        <f t="shared" si="17"/>
        <v>0</v>
      </c>
      <c r="D38" s="239">
        <f t="shared" si="17"/>
        <v>0</v>
      </c>
      <c r="E38" s="239">
        <f t="shared" si="17"/>
        <v>0</v>
      </c>
      <c r="F38" s="239">
        <f t="shared" si="17"/>
        <v>0</v>
      </c>
      <c r="G38" s="239">
        <f t="shared" si="17"/>
        <v>0</v>
      </c>
      <c r="H38" s="239">
        <f t="shared" si="17"/>
        <v>0</v>
      </c>
      <c r="I38" s="239">
        <f t="shared" si="17"/>
        <v>0</v>
      </c>
      <c r="J38" s="239">
        <f t="shared" si="17"/>
        <v>0</v>
      </c>
      <c r="K38" s="239">
        <f t="shared" si="17"/>
        <v>0</v>
      </c>
      <c r="L38" s="239">
        <f t="shared" si="17"/>
        <v>0</v>
      </c>
      <c r="M38" s="239">
        <f t="shared" si="17"/>
        <v>0</v>
      </c>
      <c r="N38" s="199">
        <f t="shared" si="18"/>
        <v>0</v>
      </c>
      <c r="O38" s="43"/>
      <c r="P38" s="43"/>
      <c r="Q38" s="43"/>
      <c r="R38" s="43"/>
      <c r="S38" s="43"/>
    </row>
    <row r="39" ht="15.75" customHeight="1">
      <c r="A39" s="120" t="s">
        <v>156</v>
      </c>
      <c r="B39" s="210">
        <v>165327.58</v>
      </c>
      <c r="C39" s="210">
        <v>137117.77</v>
      </c>
      <c r="D39" s="210">
        <v>2910932.77</v>
      </c>
      <c r="E39" s="210">
        <v>242241.05</v>
      </c>
      <c r="F39" s="210">
        <v>262304.01</v>
      </c>
      <c r="G39" s="210">
        <v>223642.06</v>
      </c>
      <c r="H39" s="210">
        <v>436105.19</v>
      </c>
      <c r="I39" s="210">
        <v>390337.76</v>
      </c>
      <c r="J39" s="210">
        <v>896195.13</v>
      </c>
      <c r="K39" s="210">
        <v>100811.14</v>
      </c>
      <c r="L39" s="210">
        <v>323414.64</v>
      </c>
      <c r="M39" s="210">
        <v>248503.74</v>
      </c>
      <c r="N39" s="216">
        <f t="shared" si="18"/>
        <v>6336932.84</v>
      </c>
      <c r="O39" s="43"/>
      <c r="P39" s="119"/>
      <c r="Q39" s="43"/>
      <c r="R39" s="43"/>
      <c r="S39" s="43"/>
    </row>
    <row r="40" ht="15.75" customHeight="1">
      <c r="A40" s="225" t="s">
        <v>143</v>
      </c>
      <c r="B40" s="199">
        <f t="shared" ref="B40:M40" si="19">B33-B34-B35-B39</f>
        <v>0</v>
      </c>
      <c r="C40" s="199">
        <f t="shared" si="19"/>
        <v>0</v>
      </c>
      <c r="D40" s="199">
        <f t="shared" si="19"/>
        <v>0</v>
      </c>
      <c r="E40" s="199">
        <f t="shared" si="19"/>
        <v>0</v>
      </c>
      <c r="F40" s="199">
        <f t="shared" si="19"/>
        <v>0</v>
      </c>
      <c r="G40" s="199">
        <f t="shared" si="19"/>
        <v>0</v>
      </c>
      <c r="H40" s="199">
        <f t="shared" si="19"/>
        <v>0</v>
      </c>
      <c r="I40" s="199">
        <f t="shared" si="19"/>
        <v>0</v>
      </c>
      <c r="J40" s="199">
        <f t="shared" si="19"/>
        <v>0</v>
      </c>
      <c r="K40" s="199">
        <f t="shared" si="19"/>
        <v>0</v>
      </c>
      <c r="L40" s="199">
        <f t="shared" si="19"/>
        <v>0</v>
      </c>
      <c r="M40" s="199">
        <f t="shared" si="19"/>
        <v>0</v>
      </c>
      <c r="N40" s="199">
        <f t="shared" si="18"/>
        <v>0</v>
      </c>
      <c r="O40" s="43"/>
      <c r="P40" s="43"/>
      <c r="Q40" s="43"/>
      <c r="R40" s="43"/>
      <c r="S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ht="15.75" customHeight="1">
      <c r="A42" s="241" t="s">
        <v>157</v>
      </c>
      <c r="B42" s="178">
        <f t="shared" ref="B42:M42" si="20">B2</f>
        <v>43405</v>
      </c>
      <c r="C42" s="178">
        <f t="shared" si="20"/>
        <v>43436</v>
      </c>
      <c r="D42" s="178">
        <f t="shared" si="20"/>
        <v>43467</v>
      </c>
      <c r="E42" s="178">
        <f t="shared" si="20"/>
        <v>43498</v>
      </c>
      <c r="F42" s="178">
        <f t="shared" si="20"/>
        <v>43529</v>
      </c>
      <c r="G42" s="178">
        <f t="shared" si="20"/>
        <v>43560</v>
      </c>
      <c r="H42" s="178">
        <f t="shared" si="20"/>
        <v>43591</v>
      </c>
      <c r="I42" s="178">
        <f t="shared" si="20"/>
        <v>43622</v>
      </c>
      <c r="J42" s="178">
        <f t="shared" si="20"/>
        <v>43653</v>
      </c>
      <c r="K42" s="178">
        <f t="shared" si="20"/>
        <v>43684</v>
      </c>
      <c r="L42" s="178">
        <f t="shared" si="20"/>
        <v>43715</v>
      </c>
      <c r="M42" s="178">
        <f t="shared" si="20"/>
        <v>43746</v>
      </c>
      <c r="N42" s="179" t="s">
        <v>125</v>
      </c>
      <c r="O42" s="43"/>
      <c r="P42" s="43"/>
      <c r="Q42" s="43"/>
      <c r="R42" s="43"/>
      <c r="S42" s="43"/>
    </row>
    <row r="43" ht="15.75" customHeight="1">
      <c r="A43" s="429" t="s">
        <v>158</v>
      </c>
      <c r="B43" s="210">
        <v>5548315.94</v>
      </c>
      <c r="C43" s="235">
        <v>5548315.94</v>
      </c>
      <c r="D43" s="214">
        <f>5724373.66+4631069.68</f>
        <v>10355443.34</v>
      </c>
      <c r="E43" s="214">
        <v>5773785.76</v>
      </c>
      <c r="F43" s="214">
        <v>5774366.84</v>
      </c>
      <c r="G43" s="214">
        <v>5806274.1</v>
      </c>
      <c r="H43" s="214">
        <v>5806274.1</v>
      </c>
      <c r="I43" s="214">
        <v>5873810.82</v>
      </c>
      <c r="J43" s="214">
        <v>6358948.73</v>
      </c>
      <c r="K43" s="214">
        <v>6200856.12</v>
      </c>
      <c r="L43" s="214">
        <v>6241838.2</v>
      </c>
      <c r="M43" s="214">
        <v>6303226.88</v>
      </c>
      <c r="N43" s="216">
        <f t="shared" ref="N43:N47" si="21">SUM(B43:M43)</f>
        <v>75591456.77</v>
      </c>
      <c r="O43" s="43"/>
      <c r="P43" s="43"/>
      <c r="Q43" s="43"/>
      <c r="R43" s="43"/>
      <c r="S43" s="43"/>
    </row>
    <row r="44" ht="15.75" customHeight="1">
      <c r="A44" s="429" t="s">
        <v>159</v>
      </c>
      <c r="B44" s="214">
        <v>1079378.63</v>
      </c>
      <c r="C44" s="235">
        <v>1079378.63</v>
      </c>
      <c r="D44" s="214">
        <f>1093303.98+0</f>
        <v>1093303.98</v>
      </c>
      <c r="E44" s="214">
        <v>622277.2</v>
      </c>
      <c r="F44" s="214">
        <v>622858.28</v>
      </c>
      <c r="G44" s="214">
        <v>622858.28</v>
      </c>
      <c r="H44" s="214">
        <v>622858.28</v>
      </c>
      <c r="I44" s="214">
        <v>623025.52</v>
      </c>
      <c r="J44" s="214">
        <v>773761.33</v>
      </c>
      <c r="K44" s="214">
        <v>771215.92</v>
      </c>
      <c r="L44" s="214">
        <v>776735.78</v>
      </c>
      <c r="M44" s="214">
        <v>777873.07</v>
      </c>
      <c r="N44" s="216">
        <f t="shared" si="21"/>
        <v>9465524.9</v>
      </c>
      <c r="O44" s="43"/>
      <c r="P44" s="43"/>
      <c r="Q44" s="43"/>
      <c r="R44" s="43"/>
      <c r="S44" s="43"/>
    </row>
    <row r="45" ht="15.75" customHeight="1">
      <c r="A45" s="198" t="s">
        <v>141</v>
      </c>
      <c r="B45" s="199">
        <f t="shared" ref="B45:M45" si="22">ROUND(B43-B44,2)</f>
        <v>4468937.31</v>
      </c>
      <c r="C45" s="199">
        <f t="shared" si="22"/>
        <v>4468937.31</v>
      </c>
      <c r="D45" s="199">
        <f t="shared" si="22"/>
        <v>9262139.36</v>
      </c>
      <c r="E45" s="199">
        <f t="shared" si="22"/>
        <v>5151508.56</v>
      </c>
      <c r="F45" s="199">
        <f t="shared" si="22"/>
        <v>5151508.56</v>
      </c>
      <c r="G45" s="199">
        <f t="shared" si="22"/>
        <v>5183415.82</v>
      </c>
      <c r="H45" s="199">
        <f t="shared" si="22"/>
        <v>5183415.82</v>
      </c>
      <c r="I45" s="199">
        <f t="shared" si="22"/>
        <v>5250785.3</v>
      </c>
      <c r="J45" s="199">
        <f t="shared" si="22"/>
        <v>5585187.4</v>
      </c>
      <c r="K45" s="199">
        <f t="shared" si="22"/>
        <v>5429640.2</v>
      </c>
      <c r="L45" s="199">
        <f t="shared" si="22"/>
        <v>5465102.42</v>
      </c>
      <c r="M45" s="199">
        <f t="shared" si="22"/>
        <v>5525353.81</v>
      </c>
      <c r="N45" s="199">
        <f t="shared" si="21"/>
        <v>66125931.87</v>
      </c>
      <c r="O45" s="43"/>
      <c r="P45" s="43"/>
      <c r="Q45" s="43"/>
      <c r="R45" s="43"/>
      <c r="S45" s="43"/>
    </row>
    <row r="46" ht="15.75" customHeight="1">
      <c r="A46" s="427" t="s">
        <v>384</v>
      </c>
      <c r="B46" s="210">
        <v>4468937.31</v>
      </c>
      <c r="C46" s="210">
        <v>4468937.31</v>
      </c>
      <c r="D46" s="210">
        <v>9262139.36</v>
      </c>
      <c r="E46" s="210">
        <v>5151508.56</v>
      </c>
      <c r="F46" s="210">
        <v>5151508.56</v>
      </c>
      <c r="G46" s="210">
        <v>5183415.82</v>
      </c>
      <c r="H46" s="210">
        <v>5183415.82</v>
      </c>
      <c r="I46" s="210">
        <v>5250785.3</v>
      </c>
      <c r="J46" s="210">
        <v>5585187.4</v>
      </c>
      <c r="K46" s="210">
        <v>5429640.2</v>
      </c>
      <c r="L46" s="210">
        <v>5465102.42</v>
      </c>
      <c r="M46" s="210">
        <v>5525353.81</v>
      </c>
      <c r="N46" s="239">
        <f t="shared" si="21"/>
        <v>66125931.87</v>
      </c>
      <c r="O46" s="43"/>
      <c r="P46" s="43"/>
      <c r="Q46" s="43"/>
      <c r="R46" s="43"/>
      <c r="S46" s="43"/>
    </row>
    <row r="47" ht="15.75" customHeight="1">
      <c r="A47" s="198" t="s">
        <v>143</v>
      </c>
      <c r="B47" s="199">
        <f t="shared" ref="B47:M47" si="23">B45-B46</f>
        <v>0</v>
      </c>
      <c r="C47" s="199">
        <f t="shared" si="23"/>
        <v>0</v>
      </c>
      <c r="D47" s="199">
        <f t="shared" si="23"/>
        <v>0</v>
      </c>
      <c r="E47" s="199">
        <f t="shared" si="23"/>
        <v>0</v>
      </c>
      <c r="F47" s="199">
        <f t="shared" si="23"/>
        <v>0</v>
      </c>
      <c r="G47" s="199">
        <f t="shared" si="23"/>
        <v>0</v>
      </c>
      <c r="H47" s="199">
        <f t="shared" si="23"/>
        <v>0</v>
      </c>
      <c r="I47" s="199">
        <f t="shared" si="23"/>
        <v>0</v>
      </c>
      <c r="J47" s="199">
        <f t="shared" si="23"/>
        <v>0</v>
      </c>
      <c r="K47" s="199">
        <f t="shared" si="23"/>
        <v>0</v>
      </c>
      <c r="L47" s="199">
        <f t="shared" si="23"/>
        <v>0</v>
      </c>
      <c r="M47" s="199">
        <f t="shared" si="23"/>
        <v>0</v>
      </c>
      <c r="N47" s="199">
        <f t="shared" si="21"/>
        <v>0</v>
      </c>
      <c r="O47" s="43"/>
      <c r="P47" s="43"/>
      <c r="Q47" s="43"/>
      <c r="R47" s="43"/>
      <c r="S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ht="15.75" customHeight="1">
      <c r="A49" s="241" t="s">
        <v>160</v>
      </c>
      <c r="B49" s="178">
        <f t="shared" ref="B49:M49" si="24">B42</f>
        <v>43405</v>
      </c>
      <c r="C49" s="178">
        <f t="shared" si="24"/>
        <v>43436</v>
      </c>
      <c r="D49" s="178">
        <f t="shared" si="24"/>
        <v>43467</v>
      </c>
      <c r="E49" s="178">
        <f t="shared" si="24"/>
        <v>43498</v>
      </c>
      <c r="F49" s="178">
        <f t="shared" si="24"/>
        <v>43529</v>
      </c>
      <c r="G49" s="178">
        <f t="shared" si="24"/>
        <v>43560</v>
      </c>
      <c r="H49" s="178">
        <f t="shared" si="24"/>
        <v>43591</v>
      </c>
      <c r="I49" s="178">
        <f t="shared" si="24"/>
        <v>43622</v>
      </c>
      <c r="J49" s="178">
        <f t="shared" si="24"/>
        <v>43653</v>
      </c>
      <c r="K49" s="178">
        <f t="shared" si="24"/>
        <v>43684</v>
      </c>
      <c r="L49" s="178">
        <f t="shared" si="24"/>
        <v>43715</v>
      </c>
      <c r="M49" s="178">
        <f t="shared" si="24"/>
        <v>43746</v>
      </c>
      <c r="N49" s="179" t="s">
        <v>125</v>
      </c>
      <c r="O49" s="43"/>
      <c r="P49" s="43"/>
      <c r="Q49" s="43"/>
      <c r="R49" s="43"/>
      <c r="S49" s="43"/>
    </row>
    <row r="50" ht="15.75" customHeight="1">
      <c r="A50" s="429" t="s">
        <v>43</v>
      </c>
      <c r="B50" s="235">
        <v>991832.32</v>
      </c>
      <c r="C50" s="214">
        <f>1019169.55+983956</f>
        <v>2003125.55</v>
      </c>
      <c r="D50" s="214">
        <v>1063624.94</v>
      </c>
      <c r="E50" s="214">
        <v>1063624.94</v>
      </c>
      <c r="F50" s="214">
        <v>1058686.72</v>
      </c>
      <c r="G50" s="214">
        <v>1058686.72</v>
      </c>
      <c r="H50" s="214">
        <v>1081893.52</v>
      </c>
      <c r="I50" s="214">
        <v>1072520.01</v>
      </c>
      <c r="J50" s="214">
        <v>1081828.07</v>
      </c>
      <c r="K50" s="214">
        <v>1103195.75</v>
      </c>
      <c r="L50" s="214">
        <v>1097573.31</v>
      </c>
      <c r="M50" s="214">
        <v>1123830.72</v>
      </c>
      <c r="N50" s="216">
        <f t="shared" ref="N50:N53" si="26">SUM(B50:M50)</f>
        <v>13800422.57</v>
      </c>
      <c r="O50" s="43"/>
      <c r="P50" s="43"/>
      <c r="Q50" s="43"/>
      <c r="R50" s="43"/>
      <c r="S50" s="43"/>
    </row>
    <row r="51" ht="15.75" customHeight="1">
      <c r="A51" s="198" t="s">
        <v>162</v>
      </c>
      <c r="B51" s="199">
        <f t="shared" ref="B51:M51" si="25">SUM(B50)</f>
        <v>991832.32</v>
      </c>
      <c r="C51" s="199">
        <f t="shared" si="25"/>
        <v>2003125.55</v>
      </c>
      <c r="D51" s="199">
        <f t="shared" si="25"/>
        <v>1063624.94</v>
      </c>
      <c r="E51" s="199">
        <f t="shared" si="25"/>
        <v>1063624.94</v>
      </c>
      <c r="F51" s="199">
        <f t="shared" si="25"/>
        <v>1058686.72</v>
      </c>
      <c r="G51" s="199">
        <f t="shared" si="25"/>
        <v>1058686.72</v>
      </c>
      <c r="H51" s="199">
        <f t="shared" si="25"/>
        <v>1081893.52</v>
      </c>
      <c r="I51" s="199">
        <f t="shared" si="25"/>
        <v>1072520.01</v>
      </c>
      <c r="J51" s="199">
        <f t="shared" si="25"/>
        <v>1081828.07</v>
      </c>
      <c r="K51" s="199">
        <f t="shared" si="25"/>
        <v>1103195.75</v>
      </c>
      <c r="L51" s="199">
        <f t="shared" si="25"/>
        <v>1097573.31</v>
      </c>
      <c r="M51" s="199">
        <f t="shared" si="25"/>
        <v>1123830.72</v>
      </c>
      <c r="N51" s="199">
        <f t="shared" si="26"/>
        <v>13800422.57</v>
      </c>
      <c r="O51" s="43"/>
      <c r="P51" s="43"/>
      <c r="Q51" s="43"/>
      <c r="R51" s="43"/>
      <c r="S51" s="43"/>
    </row>
    <row r="52" ht="15.75" customHeight="1">
      <c r="A52" s="427" t="s">
        <v>384</v>
      </c>
      <c r="B52" s="235">
        <v>991832.32</v>
      </c>
      <c r="C52" s="214">
        <f>1019169.55+983956</f>
        <v>2003125.55</v>
      </c>
      <c r="D52" s="214">
        <v>1063624.94</v>
      </c>
      <c r="E52" s="214">
        <v>1063624.94</v>
      </c>
      <c r="F52" s="214">
        <v>1058686.72</v>
      </c>
      <c r="G52" s="214">
        <v>1058686.72</v>
      </c>
      <c r="H52" s="214">
        <v>1081893.52</v>
      </c>
      <c r="I52" s="214">
        <v>1072520.01</v>
      </c>
      <c r="J52" s="214">
        <v>1081828.07</v>
      </c>
      <c r="K52" s="214">
        <v>1103195.75</v>
      </c>
      <c r="L52" s="214">
        <v>1097573.31</v>
      </c>
      <c r="M52" s="214">
        <v>1123830.72</v>
      </c>
      <c r="N52" s="239">
        <f t="shared" si="26"/>
        <v>13800422.57</v>
      </c>
      <c r="O52" s="43"/>
      <c r="P52" s="43"/>
      <c r="Q52" s="43"/>
      <c r="R52" s="43"/>
      <c r="S52" s="43"/>
    </row>
    <row r="53" ht="15.75" customHeight="1">
      <c r="A53" s="198" t="s">
        <v>143</v>
      </c>
      <c r="B53" s="199">
        <f t="shared" ref="B53:M53" si="27">B51-B52</f>
        <v>0</v>
      </c>
      <c r="C53" s="199">
        <f t="shared" si="27"/>
        <v>0</v>
      </c>
      <c r="D53" s="199">
        <f t="shared" si="27"/>
        <v>0</v>
      </c>
      <c r="E53" s="199">
        <f t="shared" si="27"/>
        <v>0</v>
      </c>
      <c r="F53" s="199">
        <f t="shared" si="27"/>
        <v>0</v>
      </c>
      <c r="G53" s="199">
        <f t="shared" si="27"/>
        <v>0</v>
      </c>
      <c r="H53" s="199">
        <f t="shared" si="27"/>
        <v>0</v>
      </c>
      <c r="I53" s="199">
        <f t="shared" si="27"/>
        <v>0</v>
      </c>
      <c r="J53" s="199">
        <f t="shared" si="27"/>
        <v>0</v>
      </c>
      <c r="K53" s="199">
        <f t="shared" si="27"/>
        <v>0</v>
      </c>
      <c r="L53" s="199">
        <f t="shared" si="27"/>
        <v>0</v>
      </c>
      <c r="M53" s="199">
        <f t="shared" si="27"/>
        <v>0</v>
      </c>
      <c r="N53" s="199">
        <f t="shared" si="26"/>
        <v>0</v>
      </c>
      <c r="O53" s="43"/>
      <c r="P53" s="43"/>
      <c r="Q53" s="43"/>
      <c r="R53" s="43"/>
      <c r="S53" s="43"/>
    </row>
    <row r="54" ht="15.75" customHeight="1">
      <c r="A54" s="246"/>
      <c r="B54" s="247" t="str">
        <f t="shared" ref="B54:N54" si="28">IF(ROUND(B19+B29+B38+B40+B47+B53,2)=0,"ok","CONCILIAR")</f>
        <v>ok</v>
      </c>
      <c r="C54" s="247" t="str">
        <f t="shared" si="28"/>
        <v>ok</v>
      </c>
      <c r="D54" s="247" t="str">
        <f t="shared" si="28"/>
        <v>ok</v>
      </c>
      <c r="E54" s="247" t="str">
        <f t="shared" si="28"/>
        <v>ok</v>
      </c>
      <c r="F54" s="247" t="str">
        <f t="shared" si="28"/>
        <v>ok</v>
      </c>
      <c r="G54" s="247" t="str">
        <f t="shared" si="28"/>
        <v>ok</v>
      </c>
      <c r="H54" s="247" t="str">
        <f t="shared" si="28"/>
        <v>ok</v>
      </c>
      <c r="I54" s="247" t="str">
        <f t="shared" si="28"/>
        <v>ok</v>
      </c>
      <c r="J54" s="247" t="str">
        <f t="shared" si="28"/>
        <v>CONCILIAR</v>
      </c>
      <c r="K54" s="247" t="str">
        <f t="shared" si="28"/>
        <v>CONCILIAR</v>
      </c>
      <c r="L54" s="247" t="str">
        <f t="shared" si="28"/>
        <v>ok</v>
      </c>
      <c r="M54" s="247" t="str">
        <f t="shared" si="28"/>
        <v>ok</v>
      </c>
      <c r="N54" s="247" t="str">
        <f t="shared" si="28"/>
        <v>CONCILIAR</v>
      </c>
      <c r="O54" s="246"/>
      <c r="P54" s="246"/>
      <c r="Q54" s="246"/>
      <c r="R54" s="246"/>
      <c r="S54" s="246"/>
    </row>
    <row r="55" ht="15.75" customHeight="1">
      <c r="A55" s="76"/>
      <c r="B55" s="43"/>
      <c r="C55" s="43"/>
      <c r="D55" s="43"/>
      <c r="E55" s="43"/>
      <c r="F55" s="11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ht="15.75" customHeight="1">
      <c r="A56" s="114" t="s">
        <v>55</v>
      </c>
      <c r="B56" s="120"/>
      <c r="C56" s="115" t="s">
        <v>391</v>
      </c>
      <c r="D56" s="115" t="s">
        <v>127</v>
      </c>
      <c r="E56" s="115" t="s">
        <v>128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ht="15.75" customHeight="1">
      <c r="A57" s="76" t="s">
        <v>164</v>
      </c>
      <c r="B57" s="43"/>
      <c r="C57" s="118">
        <f t="shared" ref="C57:E57" si="29">SUM(C58:C60)</f>
        <v>311089495.6</v>
      </c>
      <c r="D57" s="118">
        <f t="shared" si="29"/>
        <v>312899237.8</v>
      </c>
      <c r="E57" s="118">
        <f t="shared" si="29"/>
        <v>-1809742.26</v>
      </c>
      <c r="F57" s="76"/>
      <c r="G57" s="43"/>
      <c r="H57" s="43"/>
      <c r="I57" s="43"/>
      <c r="J57" s="43"/>
      <c r="K57" s="43"/>
      <c r="L57" s="76"/>
      <c r="M57" s="76"/>
      <c r="N57" s="118">
        <f>SUM(N58:N60)</f>
        <v>311089495.6</v>
      </c>
      <c r="O57" s="43"/>
      <c r="P57" s="43"/>
      <c r="Q57" s="43"/>
      <c r="R57" s="43"/>
      <c r="S57" s="43"/>
    </row>
    <row r="58" ht="15.75" customHeight="1">
      <c r="A58" s="43" t="s">
        <v>165</v>
      </c>
      <c r="B58" s="43"/>
      <c r="C58" s="119">
        <f>N17</f>
        <v>246002520.9</v>
      </c>
      <c r="D58" s="119">
        <f>N18</f>
        <v>246002520.9</v>
      </c>
      <c r="E58" s="119">
        <f t="shared" ref="E58:E60" si="30">C58-D58</f>
        <v>-0.00000002980232239</v>
      </c>
      <c r="F58" s="119"/>
      <c r="G58" s="43"/>
      <c r="H58" s="43"/>
      <c r="I58" s="43"/>
      <c r="J58" s="43"/>
      <c r="K58" s="43"/>
      <c r="L58" s="43"/>
      <c r="M58" s="43"/>
      <c r="N58" s="119">
        <f>N18</f>
        <v>246002520.9</v>
      </c>
      <c r="O58" s="250"/>
      <c r="P58" s="43"/>
      <c r="Q58" s="43"/>
      <c r="R58" s="43"/>
      <c r="S58" s="43"/>
    </row>
    <row r="59" ht="15.75" customHeight="1">
      <c r="A59" s="43" t="s">
        <v>166</v>
      </c>
      <c r="B59" s="43"/>
      <c r="C59" s="119">
        <f>N27</f>
        <v>65086974.65</v>
      </c>
      <c r="D59" s="119">
        <f>N24</f>
        <v>66896716.91</v>
      </c>
      <c r="E59" s="119">
        <f t="shared" si="30"/>
        <v>-1809742.26</v>
      </c>
      <c r="F59" s="119"/>
      <c r="G59" s="43"/>
      <c r="H59" s="43"/>
      <c r="I59" s="43"/>
      <c r="J59" s="43"/>
      <c r="K59" s="43"/>
      <c r="L59" s="43"/>
      <c r="M59" s="43"/>
      <c r="N59" s="119">
        <f>N28</f>
        <v>65086974.65</v>
      </c>
      <c r="O59" s="251"/>
      <c r="P59" s="43"/>
      <c r="Q59" s="43"/>
      <c r="R59" s="43"/>
      <c r="S59" s="43"/>
    </row>
    <row r="60" ht="15.75" customHeight="1">
      <c r="A60" s="120" t="s">
        <v>167</v>
      </c>
      <c r="B60" s="120"/>
      <c r="C60" s="252">
        <v>0.0</v>
      </c>
      <c r="D60" s="252">
        <v>0.0</v>
      </c>
      <c r="E60" s="122">
        <f t="shared" si="30"/>
        <v>0</v>
      </c>
      <c r="F60" s="43"/>
      <c r="G60" s="43"/>
      <c r="H60" s="43"/>
      <c r="I60" s="43"/>
      <c r="J60" s="43"/>
      <c r="K60" s="43"/>
      <c r="L60" s="43"/>
      <c r="M60" s="43"/>
      <c r="N60" s="253">
        <v>0.0</v>
      </c>
      <c r="O60" s="43"/>
      <c r="P60" s="43"/>
      <c r="Q60" s="43"/>
      <c r="R60" s="43"/>
      <c r="S60" s="43"/>
    </row>
    <row r="61" ht="15.75" customHeight="1">
      <c r="A61" s="76" t="s">
        <v>168</v>
      </c>
      <c r="B61" s="43"/>
      <c r="C61" s="118">
        <f t="shared" ref="C61:E61" si="31">SUM(C62:C64)</f>
        <v>79926354.44</v>
      </c>
      <c r="D61" s="118">
        <f t="shared" si="31"/>
        <v>79926354.44</v>
      </c>
      <c r="E61" s="118">
        <f t="shared" si="31"/>
        <v>0</v>
      </c>
      <c r="F61" s="43"/>
      <c r="G61" s="43"/>
      <c r="H61" s="43"/>
      <c r="I61" s="43"/>
      <c r="J61" s="43"/>
      <c r="K61" s="43"/>
      <c r="L61" s="76"/>
      <c r="M61" s="76"/>
      <c r="N61" s="118">
        <f>SUM(N62:N63)</f>
        <v>79926354.44</v>
      </c>
      <c r="O61" s="43"/>
      <c r="P61" s="43"/>
      <c r="Q61" s="43"/>
      <c r="R61" s="43"/>
      <c r="S61" s="43"/>
    </row>
    <row r="62" ht="15.75" customHeight="1">
      <c r="A62" s="43" t="s">
        <v>169</v>
      </c>
      <c r="B62" s="43"/>
      <c r="C62" s="119">
        <f>N45</f>
        <v>66125931.87</v>
      </c>
      <c r="D62" s="119">
        <f>N46</f>
        <v>66125931.87</v>
      </c>
      <c r="E62" s="119">
        <f t="shared" ref="E62:E64" si="32">C62-D62</f>
        <v>0</v>
      </c>
      <c r="F62" s="43"/>
      <c r="G62" s="43"/>
      <c r="H62" s="43"/>
      <c r="I62" s="43"/>
      <c r="J62" s="43"/>
      <c r="K62" s="43"/>
      <c r="L62" s="43"/>
      <c r="M62" s="43"/>
      <c r="N62" s="119">
        <f>N45</f>
        <v>66125931.87</v>
      </c>
      <c r="O62" s="43"/>
      <c r="P62" s="43"/>
      <c r="Q62" s="43"/>
      <c r="R62" s="43"/>
      <c r="S62" s="43"/>
    </row>
    <row r="63" ht="15.75" customHeight="1">
      <c r="A63" s="43" t="s">
        <v>160</v>
      </c>
      <c r="B63" s="43"/>
      <c r="C63" s="119">
        <f>N51</f>
        <v>13800422.57</v>
      </c>
      <c r="D63" s="119">
        <f>N52</f>
        <v>13800422.57</v>
      </c>
      <c r="E63" s="119">
        <f t="shared" si="32"/>
        <v>0</v>
      </c>
      <c r="F63" s="43"/>
      <c r="G63" s="43"/>
      <c r="H63" s="43"/>
      <c r="I63" s="43"/>
      <c r="J63" s="43"/>
      <c r="K63" s="43"/>
      <c r="L63" s="43"/>
      <c r="M63" s="43"/>
      <c r="N63" s="119">
        <f>N51</f>
        <v>13800422.57</v>
      </c>
      <c r="O63" s="43"/>
      <c r="P63" s="43"/>
      <c r="Q63" s="43"/>
      <c r="R63" s="43"/>
      <c r="S63" s="43"/>
    </row>
    <row r="64" ht="15.75" customHeight="1">
      <c r="A64" s="120" t="s">
        <v>170</v>
      </c>
      <c r="B64" s="120"/>
      <c r="C64" s="252">
        <v>0.0</v>
      </c>
      <c r="D64" s="252">
        <v>0.0</v>
      </c>
      <c r="E64" s="122">
        <f t="shared" si="32"/>
        <v>0</v>
      </c>
      <c r="F64" s="43"/>
      <c r="G64" s="43"/>
      <c r="H64" s="43"/>
      <c r="I64" s="43"/>
      <c r="J64" s="43"/>
      <c r="K64" s="43"/>
      <c r="L64" s="43"/>
      <c r="M64" s="43"/>
      <c r="N64" s="253">
        <v>0.0</v>
      </c>
      <c r="O64" s="43"/>
      <c r="P64" s="43"/>
      <c r="Q64" s="43"/>
      <c r="R64" s="43"/>
      <c r="S64" s="43"/>
    </row>
    <row r="65" ht="15.75" customHeight="1">
      <c r="A65" s="76" t="s">
        <v>171</v>
      </c>
      <c r="B65" s="43"/>
      <c r="C65" s="206">
        <f t="shared" ref="C65:E65" si="33">SUM(C66:C69)</f>
        <v>79929834.83</v>
      </c>
      <c r="D65" s="206">
        <f t="shared" si="33"/>
        <v>79929834.83</v>
      </c>
      <c r="E65" s="206">
        <f t="shared" si="33"/>
        <v>0</v>
      </c>
      <c r="F65" s="43"/>
      <c r="G65" s="43"/>
      <c r="H65" s="43"/>
      <c r="I65" s="43"/>
      <c r="J65" s="43"/>
      <c r="K65" s="43"/>
      <c r="L65" s="76"/>
      <c r="M65" s="76"/>
      <c r="N65" s="254">
        <f>SUM(N66:N67)</f>
        <v>0</v>
      </c>
      <c r="O65" s="43"/>
      <c r="P65" s="43"/>
      <c r="Q65" s="43"/>
      <c r="R65" s="43"/>
      <c r="S65" s="43"/>
    </row>
    <row r="66" ht="15.75" customHeight="1">
      <c r="A66" s="43" t="s">
        <v>172</v>
      </c>
      <c r="B66" s="43"/>
      <c r="C66" s="255">
        <v>0.0</v>
      </c>
      <c r="D66" s="255">
        <v>0.0</v>
      </c>
      <c r="E66" s="117">
        <f t="shared" ref="E66:E69" si="34">C66-D66</f>
        <v>0</v>
      </c>
      <c r="F66" s="43"/>
      <c r="G66" s="43"/>
      <c r="H66" s="43"/>
      <c r="I66" s="43"/>
      <c r="J66" s="43"/>
      <c r="K66" s="43"/>
      <c r="L66" s="43"/>
      <c r="M66" s="43"/>
      <c r="N66" s="253">
        <v>0.0</v>
      </c>
      <c r="O66" s="43"/>
      <c r="P66" s="43"/>
      <c r="Q66" s="43"/>
      <c r="R66" s="43"/>
      <c r="S66" s="43"/>
    </row>
    <row r="67" ht="15.75" customHeight="1">
      <c r="A67" s="43" t="s">
        <v>173</v>
      </c>
      <c r="B67" s="43"/>
      <c r="C67" s="255">
        <v>0.0</v>
      </c>
      <c r="D67" s="255">
        <v>0.0</v>
      </c>
      <c r="E67" s="117">
        <f t="shared" si="34"/>
        <v>0</v>
      </c>
      <c r="F67" s="43"/>
      <c r="G67" s="43"/>
      <c r="H67" s="43"/>
      <c r="I67" s="43"/>
      <c r="J67" s="43"/>
      <c r="K67" s="43"/>
      <c r="L67" s="43"/>
      <c r="M67" s="43"/>
      <c r="N67" s="253">
        <v>0.0</v>
      </c>
      <c r="O67" s="43"/>
      <c r="P67" s="43"/>
      <c r="Q67" s="43"/>
      <c r="R67" s="43"/>
      <c r="S67" s="43"/>
    </row>
    <row r="68" ht="15.75" customHeight="1">
      <c r="A68" s="43" t="s">
        <v>174</v>
      </c>
      <c r="B68" s="43"/>
      <c r="C68" s="119">
        <f t="shared" ref="C68:D68" si="35">C62+C63</f>
        <v>79926354.44</v>
      </c>
      <c r="D68" s="119">
        <f t="shared" si="35"/>
        <v>79926354.44</v>
      </c>
      <c r="E68" s="119">
        <f t="shared" si="34"/>
        <v>0</v>
      </c>
      <c r="F68" s="43"/>
      <c r="G68" s="43"/>
      <c r="H68" s="43"/>
      <c r="I68" s="43"/>
      <c r="J68" s="43"/>
      <c r="K68" s="43"/>
      <c r="L68" s="43"/>
      <c r="M68" s="43"/>
      <c r="N68" s="119">
        <f>N62+N63</f>
        <v>79926354.44</v>
      </c>
      <c r="O68" s="43"/>
      <c r="P68" s="43"/>
      <c r="Q68" s="43"/>
      <c r="R68" s="43"/>
      <c r="S68" s="43"/>
    </row>
    <row r="69" ht="15.75" customHeight="1">
      <c r="A69" s="120" t="s">
        <v>175</v>
      </c>
      <c r="B69" s="120"/>
      <c r="C69" s="252">
        <f>N9-28969.57</f>
        <v>3480.39</v>
      </c>
      <c r="D69" s="252">
        <v>3480.39</v>
      </c>
      <c r="E69" s="122">
        <f t="shared" si="34"/>
        <v>0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ht="15.75" customHeight="1">
      <c r="A70" s="43"/>
      <c r="B70" s="43"/>
      <c r="C70" s="43"/>
      <c r="D70" s="43"/>
      <c r="E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ht="15.75" customHeight="1">
      <c r="A71" s="76" t="s">
        <v>176</v>
      </c>
      <c r="B71" s="43"/>
      <c r="C71" s="113" t="s">
        <v>177</v>
      </c>
      <c r="D71" s="256" t="s">
        <v>178</v>
      </c>
      <c r="E71" s="12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ht="15.75" customHeight="1">
      <c r="A72" s="105" t="s">
        <v>179</v>
      </c>
      <c r="B72" s="105"/>
      <c r="C72" s="257">
        <v>0.0</v>
      </c>
      <c r="D72" s="258" t="s">
        <v>180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ht="15.75" customHeight="1">
      <c r="A73" s="43" t="s">
        <v>181</v>
      </c>
      <c r="B73" s="43"/>
      <c r="C73" s="186">
        <v>2.446531015481E10</v>
      </c>
      <c r="D73" s="258" t="s">
        <v>180</v>
      </c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ht="15.75" customHeight="1">
      <c r="A74" s="43" t="s">
        <v>392</v>
      </c>
      <c r="B74" s="43"/>
      <c r="C74" s="186">
        <v>0.0</v>
      </c>
      <c r="D74" s="258" t="s">
        <v>180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ht="15.75" customHeight="1">
      <c r="A75" s="43" t="s">
        <v>184</v>
      </c>
      <c r="B75" s="43"/>
      <c r="C75" s="119">
        <f>C72+C73-C74</f>
        <v>24465310155</v>
      </c>
      <c r="D75" s="258" t="s">
        <v>180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ht="15.75" customHeight="1">
      <c r="A76" s="43" t="s">
        <v>185</v>
      </c>
      <c r="B76" s="43"/>
      <c r="C76" s="119">
        <f>C57-C69</f>
        <v>311086015.2</v>
      </c>
      <c r="D76" s="259">
        <f>(C76/C75)*100</f>
        <v>1.271539225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ht="15.75" customHeight="1">
      <c r="A77" s="43" t="s">
        <v>186</v>
      </c>
      <c r="B77" s="43"/>
      <c r="C77" s="119">
        <f>ROUND($C$75*F77,2)</f>
        <v>381658838.4</v>
      </c>
      <c r="D77" s="259">
        <f>(C77/C75)*100</f>
        <v>1.56</v>
      </c>
      <c r="F77" s="260">
        <v>0.0156</v>
      </c>
      <c r="G77" s="103" t="s">
        <v>187</v>
      </c>
      <c r="H77" s="43"/>
      <c r="I77" s="43"/>
      <c r="K77" s="43"/>
      <c r="L77" s="43"/>
      <c r="M77" s="43"/>
      <c r="N77" s="43"/>
      <c r="O77" s="43"/>
      <c r="P77" s="43"/>
      <c r="Q77" s="43"/>
      <c r="R77" s="43"/>
      <c r="S77" s="43"/>
    </row>
    <row r="78" ht="15.75" customHeight="1">
      <c r="A78" s="43" t="s">
        <v>188</v>
      </c>
      <c r="B78" s="43"/>
      <c r="C78" s="119">
        <f>ROUND($C$75*I78,2)-0.01</f>
        <v>362575896.5</v>
      </c>
      <c r="D78" s="259">
        <f t="shared" ref="D78:D79" si="36">I78*100</f>
        <v>1.482</v>
      </c>
      <c r="F78" s="260">
        <v>0.95</v>
      </c>
      <c r="G78" s="103" t="s">
        <v>189</v>
      </c>
      <c r="H78" s="43"/>
      <c r="I78" s="261">
        <f t="shared" ref="I78:I79" si="37">ROUND($F$77*F78,6)</f>
        <v>0.01482</v>
      </c>
      <c r="P78" s="43"/>
      <c r="Q78" s="43"/>
      <c r="R78" s="43"/>
      <c r="S78" s="43"/>
    </row>
    <row r="79" ht="15.75" customHeight="1">
      <c r="A79" s="120" t="s">
        <v>190</v>
      </c>
      <c r="B79" s="120"/>
      <c r="C79" s="197">
        <f>ROUND($C$75*I79,2)</f>
        <v>343492954.6</v>
      </c>
      <c r="D79" s="262">
        <f t="shared" si="36"/>
        <v>1.404</v>
      </c>
      <c r="E79" s="263"/>
      <c r="F79" s="260">
        <v>0.9</v>
      </c>
      <c r="G79" s="103" t="s">
        <v>191</v>
      </c>
      <c r="H79" s="43"/>
      <c r="I79" s="261">
        <f t="shared" si="37"/>
        <v>0.01404</v>
      </c>
      <c r="P79" s="43"/>
      <c r="Q79" s="43"/>
      <c r="R79" s="43"/>
      <c r="S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P80" s="43"/>
      <c r="Q80" s="43"/>
      <c r="R80" s="43"/>
      <c r="S80" s="43"/>
    </row>
    <row r="81" ht="15.75" customHeight="1">
      <c r="A81" s="264" t="s">
        <v>192</v>
      </c>
      <c r="B81" s="123"/>
      <c r="C81" s="265"/>
      <c r="D81" s="43"/>
      <c r="E81" s="43"/>
      <c r="F81" s="43"/>
      <c r="G81" s="43"/>
      <c r="H81" s="43"/>
      <c r="I81" s="43"/>
      <c r="J81" s="43"/>
      <c r="P81" s="251">
        <f>B84/B83</f>
        <v>0.005817497964</v>
      </c>
      <c r="Q81" s="43"/>
      <c r="R81" s="43"/>
      <c r="S81" s="43"/>
    </row>
    <row r="82" ht="15.75" customHeight="1">
      <c r="A82" s="265"/>
      <c r="B82" s="123"/>
      <c r="C82" s="265"/>
      <c r="D82" s="43"/>
      <c r="E82" s="43"/>
      <c r="F82" s="43"/>
      <c r="G82" s="43"/>
      <c r="H82" s="43"/>
      <c r="I82" s="43"/>
      <c r="J82" s="43"/>
      <c r="P82" s="43"/>
      <c r="Q82" s="43"/>
      <c r="R82" s="43"/>
      <c r="S82" s="43"/>
    </row>
    <row r="83" ht="15.75" customHeight="1">
      <c r="A83" s="266" t="s">
        <v>193</v>
      </c>
      <c r="B83" s="267">
        <f>C76</f>
        <v>311086015.2</v>
      </c>
      <c r="C83" s="268" t="s">
        <v>194</v>
      </c>
      <c r="D83" s="62"/>
      <c r="E83" s="63"/>
      <c r="F83" s="43"/>
      <c r="G83" s="43"/>
      <c r="H83" s="43"/>
      <c r="I83" s="43"/>
      <c r="J83" s="43"/>
      <c r="P83" s="251">
        <f>B86/B83</f>
        <v>0.03313599794</v>
      </c>
      <c r="Q83" s="43"/>
      <c r="R83" s="43"/>
      <c r="S83" s="43"/>
    </row>
    <row r="84" ht="15.75" customHeight="1">
      <c r="A84" s="266" t="s">
        <v>195</v>
      </c>
      <c r="B84" s="269">
        <f>N29</f>
        <v>1809742.26</v>
      </c>
      <c r="C84" s="270" t="s">
        <v>196</v>
      </c>
      <c r="D84" s="110"/>
      <c r="E84" s="111"/>
      <c r="F84" s="43"/>
      <c r="G84" s="43"/>
      <c r="H84" s="43"/>
      <c r="I84" s="43"/>
      <c r="J84" s="43"/>
      <c r="P84" s="43"/>
      <c r="Q84" s="43"/>
      <c r="R84" s="43"/>
      <c r="S84" s="43"/>
    </row>
    <row r="85" ht="15.75" customHeight="1">
      <c r="A85" s="266" t="s">
        <v>197</v>
      </c>
      <c r="B85" s="269">
        <f>SUM(B83:B84)</f>
        <v>312895757.5</v>
      </c>
      <c r="C85" s="272" t="s">
        <v>198</v>
      </c>
      <c r="D85" s="110"/>
      <c r="E85" s="111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ht="15.75" customHeight="1">
      <c r="A86" s="266" t="s">
        <v>199</v>
      </c>
      <c r="B86" s="269">
        <f>N36</f>
        <v>10308145.56</v>
      </c>
      <c r="C86" s="433" t="s">
        <v>393</v>
      </c>
      <c r="D86" s="110"/>
      <c r="E86" s="111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ht="15.75" customHeight="1">
      <c r="A87" s="266" t="s">
        <v>201</v>
      </c>
      <c r="B87" s="269">
        <f>SUM(B85:B86)</f>
        <v>323203903</v>
      </c>
      <c r="C87" s="272" t="s">
        <v>202</v>
      </c>
      <c r="D87" s="110"/>
      <c r="E87" s="111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ht="15.75" customHeight="1">
      <c r="A91" s="76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ht="15.75" customHeight="1">
      <c r="A92" s="76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 ht="15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</row>
    <row r="271" ht="15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</row>
    <row r="272" ht="15.7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</row>
    <row r="273" ht="15.7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</row>
    <row r="274" ht="15.7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</row>
    <row r="275" ht="15.7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</row>
    <row r="276" ht="15.7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</row>
    <row r="277" ht="15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</row>
    <row r="278" ht="15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</row>
    <row r="279" ht="15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</row>
    <row r="280" ht="15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</row>
    <row r="281" ht="15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</row>
    <row r="282" ht="15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</row>
    <row r="283" ht="15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</row>
    <row r="284" ht="15.7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</row>
    <row r="285" ht="15.7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</row>
    <row r="286" ht="15.7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</row>
    <row r="287" ht="15.7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</row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83:E83"/>
    <mergeCell ref="C84:E84"/>
    <mergeCell ref="C85:E85"/>
    <mergeCell ref="C86:E86"/>
    <mergeCell ref="C87:E87"/>
  </mergeCell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16.86"/>
    <col customWidth="1" min="2" max="2" width="14.43"/>
    <col customWidth="1" min="3" max="3" width="15.57"/>
    <col customWidth="1" min="4" max="5" width="14.57"/>
    <col customWidth="1" min="6" max="6" width="15.0"/>
    <col customWidth="1" min="7" max="7" width="15.57"/>
    <col customWidth="1" min="8" max="8" width="14.57"/>
    <col customWidth="1" min="9" max="9" width="19.29"/>
    <col customWidth="1" min="10" max="10" width="14.43"/>
    <col customWidth="1" min="11" max="11" width="17.57"/>
    <col customWidth="1" min="12" max="12" width="14.57"/>
    <col customWidth="1" min="13" max="13" width="14.43"/>
    <col customWidth="1" min="14" max="14" width="17.86"/>
    <col customWidth="1" min="15" max="17" width="14.43"/>
    <col customWidth="1" min="18" max="26" width="8.0"/>
  </cols>
  <sheetData>
    <row r="1" ht="15.75" customHeight="1">
      <c r="A1" s="12"/>
      <c r="B1" s="440" t="s">
        <v>396</v>
      </c>
      <c r="C1" s="41"/>
      <c r="D1" s="41"/>
      <c r="E1" s="41"/>
      <c r="F1" s="41"/>
      <c r="G1" s="42"/>
      <c r="H1" s="12"/>
      <c r="I1" s="12"/>
      <c r="J1" s="440" t="s">
        <v>397</v>
      </c>
      <c r="K1" s="41"/>
      <c r="L1" s="41"/>
      <c r="M1" s="41"/>
      <c r="N1" s="41"/>
      <c r="O1" s="4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12.75" customHeight="1">
      <c r="A2" s="12"/>
      <c r="B2" s="441" t="s">
        <v>398</v>
      </c>
      <c r="C2" s="441" t="s">
        <v>399</v>
      </c>
      <c r="D2" s="441" t="s">
        <v>400</v>
      </c>
      <c r="E2" s="441" t="s">
        <v>401</v>
      </c>
      <c r="F2" s="441" t="s">
        <v>402</v>
      </c>
      <c r="G2" s="441" t="s">
        <v>403</v>
      </c>
      <c r="H2" s="12"/>
      <c r="I2" s="12"/>
      <c r="J2" s="441" t="s">
        <v>398</v>
      </c>
      <c r="K2" s="441" t="s">
        <v>399</v>
      </c>
      <c r="L2" s="441" t="s">
        <v>400</v>
      </c>
      <c r="M2" s="441" t="s">
        <v>401</v>
      </c>
      <c r="N2" s="441" t="s">
        <v>402</v>
      </c>
      <c r="O2" s="441" t="s">
        <v>403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ht="12.75" customHeight="1">
      <c r="A3" s="442" t="s">
        <v>404</v>
      </c>
      <c r="B3" s="443">
        <v>42736.0</v>
      </c>
      <c r="C3" s="444">
        <v>131567.53</v>
      </c>
      <c r="D3" s="444">
        <v>18815.65</v>
      </c>
      <c r="E3" s="444">
        <v>2000.0</v>
      </c>
      <c r="F3" s="444">
        <v>35523.21</v>
      </c>
      <c r="G3" s="445">
        <f t="shared" ref="G3:G15" si="2">SUM(C3:F3)</f>
        <v>187906.39</v>
      </c>
      <c r="H3" s="446">
        <f t="shared" ref="H3:H16" si="3">IF(F3=0,0,ROUND(+F3/C3,6))</f>
        <v>0.27</v>
      </c>
      <c r="I3" s="12" t="str">
        <f t="shared" ref="I3:J3" si="1">+A3</f>
        <v>PETCE 3590/2018</v>
      </c>
      <c r="J3" s="443">
        <f t="shared" si="1"/>
        <v>42736</v>
      </c>
      <c r="K3" s="444">
        <v>286010.34</v>
      </c>
      <c r="L3" s="444">
        <v>40440.19</v>
      </c>
      <c r="M3" s="444">
        <v>5000.0</v>
      </c>
      <c r="N3" s="444">
        <v>79375.52</v>
      </c>
      <c r="O3" s="445">
        <f t="shared" ref="O3:O15" si="5">SUM(K3:N3)</f>
        <v>410826.05</v>
      </c>
      <c r="P3" s="446">
        <f t="shared" ref="P3:P16" si="6">IF(N3=0,0,ROUND(+N3/K3,6))</f>
        <v>0.277527</v>
      </c>
      <c r="Q3" s="12"/>
      <c r="R3" s="12"/>
      <c r="S3" s="12"/>
      <c r="T3" s="12"/>
      <c r="U3" s="12"/>
      <c r="V3" s="12"/>
      <c r="W3" s="12"/>
      <c r="X3" s="12"/>
      <c r="Y3" s="12"/>
      <c r="Z3" s="12"/>
    </row>
    <row r="4" ht="12.75" customHeight="1">
      <c r="A4" s="442" t="s">
        <v>405</v>
      </c>
      <c r="B4" s="443">
        <v>42767.0</v>
      </c>
      <c r="C4" s="444">
        <v>131567.53</v>
      </c>
      <c r="D4" s="444">
        <v>0.0</v>
      </c>
      <c r="E4" s="444">
        <v>2000.0</v>
      </c>
      <c r="F4" s="444">
        <v>35523.21</v>
      </c>
      <c r="G4" s="445">
        <f t="shared" si="2"/>
        <v>169090.74</v>
      </c>
      <c r="H4" s="446">
        <f t="shared" si="3"/>
        <v>0.27</v>
      </c>
      <c r="I4" s="12" t="str">
        <f t="shared" ref="I4:J4" si="4">+A4</f>
        <v>PETCE 9575/2018</v>
      </c>
      <c r="J4" s="443">
        <f t="shared" si="4"/>
        <v>42767</v>
      </c>
      <c r="K4" s="444">
        <v>286010.34</v>
      </c>
      <c r="L4" s="444">
        <v>17656.29</v>
      </c>
      <c r="M4" s="444">
        <v>5000.0</v>
      </c>
      <c r="N4" s="444">
        <v>79375.52</v>
      </c>
      <c r="O4" s="445">
        <f t="shared" si="5"/>
        <v>388042.15</v>
      </c>
      <c r="P4" s="446">
        <f t="shared" si="6"/>
        <v>0.277527</v>
      </c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2.75" customHeight="1">
      <c r="A5" s="442" t="s">
        <v>406</v>
      </c>
      <c r="B5" s="443">
        <v>42795.0</v>
      </c>
      <c r="C5" s="444">
        <v>131567.53</v>
      </c>
      <c r="D5" s="444">
        <v>0.0</v>
      </c>
      <c r="E5" s="444">
        <v>2000.0</v>
      </c>
      <c r="F5" s="444">
        <v>35523.21</v>
      </c>
      <c r="G5" s="445">
        <f t="shared" si="2"/>
        <v>169090.74</v>
      </c>
      <c r="H5" s="446">
        <f t="shared" si="3"/>
        <v>0.27</v>
      </c>
      <c r="I5" s="12" t="str">
        <f t="shared" ref="I5:J5" si="7">+A5</f>
        <v>PETCE 14545/2018</v>
      </c>
      <c r="J5" s="443">
        <f t="shared" si="7"/>
        <v>42795</v>
      </c>
      <c r="K5" s="444">
        <v>286010.34</v>
      </c>
      <c r="L5" s="444">
        <v>0.0</v>
      </c>
      <c r="M5" s="444">
        <v>5000.0</v>
      </c>
      <c r="N5" s="444">
        <v>79375.52</v>
      </c>
      <c r="O5" s="445">
        <f t="shared" si="5"/>
        <v>370385.86</v>
      </c>
      <c r="P5" s="446">
        <f t="shared" si="6"/>
        <v>0.277527</v>
      </c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2.75" customHeight="1">
      <c r="A6" s="442" t="s">
        <v>407</v>
      </c>
      <c r="B6" s="443">
        <v>42826.0</v>
      </c>
      <c r="C6" s="444">
        <v>132174.76</v>
      </c>
      <c r="D6" s="444">
        <v>9351.31</v>
      </c>
      <c r="E6" s="444">
        <v>8500.0</v>
      </c>
      <c r="F6" s="444">
        <v>35687.16</v>
      </c>
      <c r="G6" s="445">
        <f t="shared" si="2"/>
        <v>185713.23</v>
      </c>
      <c r="H6" s="446">
        <f t="shared" si="3"/>
        <v>0.27</v>
      </c>
      <c r="I6" s="12" t="str">
        <f t="shared" ref="I6:J6" si="8">+A6</f>
        <v>PETCE 20151/2018</v>
      </c>
      <c r="J6" s="443">
        <f t="shared" si="8"/>
        <v>42826</v>
      </c>
      <c r="K6" s="444">
        <v>286010.34</v>
      </c>
      <c r="L6" s="444">
        <v>0.0</v>
      </c>
      <c r="M6" s="444">
        <v>5000.0</v>
      </c>
      <c r="N6" s="444">
        <v>79375.52</v>
      </c>
      <c r="O6" s="445">
        <f t="shared" si="5"/>
        <v>370385.86</v>
      </c>
      <c r="P6" s="446">
        <f t="shared" si="6"/>
        <v>0.277527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2.75" customHeight="1">
      <c r="A7" s="442" t="s">
        <v>408</v>
      </c>
      <c r="B7" s="443">
        <v>42856.0</v>
      </c>
      <c r="C7" s="444">
        <v>137451.69</v>
      </c>
      <c r="D7" s="444">
        <v>10503.78</v>
      </c>
      <c r="E7" s="444">
        <v>2500.0</v>
      </c>
      <c r="F7" s="444">
        <v>37111.93</v>
      </c>
      <c r="G7" s="445">
        <f t="shared" si="2"/>
        <v>187567.4</v>
      </c>
      <c r="H7" s="446">
        <f t="shared" si="3"/>
        <v>0.27</v>
      </c>
      <c r="I7" s="12" t="str">
        <f t="shared" ref="I7:J7" si="9">+A7</f>
        <v>PETCE 25421/2018</v>
      </c>
      <c r="J7" s="443">
        <f t="shared" si="9"/>
        <v>42856</v>
      </c>
      <c r="K7" s="444">
        <v>290900.86</v>
      </c>
      <c r="L7" s="444">
        <v>0.0</v>
      </c>
      <c r="M7" s="444">
        <v>5000.0</v>
      </c>
      <c r="N7" s="444">
        <v>80695.96</v>
      </c>
      <c r="O7" s="445">
        <f t="shared" si="5"/>
        <v>376596.82</v>
      </c>
      <c r="P7" s="446">
        <f t="shared" si="6"/>
        <v>0.2774</v>
      </c>
      <c r="Q7" s="447"/>
      <c r="R7" s="12"/>
      <c r="S7" s="12"/>
      <c r="T7" s="12"/>
      <c r="U7" s="12"/>
      <c r="V7" s="12"/>
      <c r="W7" s="12"/>
      <c r="X7" s="12"/>
      <c r="Y7" s="12"/>
      <c r="Z7" s="12"/>
    </row>
    <row r="8" ht="12.75" customHeight="1">
      <c r="A8" s="442" t="s">
        <v>409</v>
      </c>
      <c r="B8" s="443">
        <v>42887.0</v>
      </c>
      <c r="C8" s="444">
        <v>134810.32</v>
      </c>
      <c r="D8" s="444">
        <v>0.0</v>
      </c>
      <c r="E8" s="444">
        <v>2500.0</v>
      </c>
      <c r="F8" s="444">
        <v>36398.75</v>
      </c>
      <c r="G8" s="445">
        <f t="shared" si="2"/>
        <v>173709.07</v>
      </c>
      <c r="H8" s="446">
        <f t="shared" si="3"/>
        <v>0.27</v>
      </c>
      <c r="I8" s="12" t="str">
        <f t="shared" ref="I8:J8" si="10">+A8</f>
        <v>PETCE 30423/2018</v>
      </c>
      <c r="J8" s="443">
        <f t="shared" si="10"/>
        <v>42887</v>
      </c>
      <c r="K8" s="444">
        <v>288452.92</v>
      </c>
      <c r="L8" s="444">
        <v>0.0</v>
      </c>
      <c r="M8" s="444">
        <v>5000.0</v>
      </c>
      <c r="N8" s="444">
        <v>80035.01</v>
      </c>
      <c r="O8" s="445">
        <f t="shared" si="5"/>
        <v>373487.93</v>
      </c>
      <c r="P8" s="446">
        <f t="shared" si="6"/>
        <v>0.277463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2.75" customHeight="1">
      <c r="A9" s="442" t="s">
        <v>410</v>
      </c>
      <c r="B9" s="443">
        <v>42917.0</v>
      </c>
      <c r="C9" s="444">
        <v>134810.32</v>
      </c>
      <c r="D9" s="444"/>
      <c r="E9" s="444">
        <v>2500.0</v>
      </c>
      <c r="F9" s="444">
        <v>36398.75</v>
      </c>
      <c r="G9" s="445">
        <f t="shared" si="2"/>
        <v>173709.07</v>
      </c>
      <c r="H9" s="446">
        <f t="shared" si="3"/>
        <v>0.27</v>
      </c>
      <c r="I9" s="12" t="str">
        <f t="shared" ref="I9:J9" si="11">+A9</f>
        <v>PETCE 36176/2018</v>
      </c>
      <c r="J9" s="443">
        <f t="shared" si="11"/>
        <v>42917</v>
      </c>
      <c r="K9" s="444">
        <v>288452.92</v>
      </c>
      <c r="L9" s="444">
        <v>10157.03</v>
      </c>
      <c r="M9" s="444">
        <v>5000.0</v>
      </c>
      <c r="N9" s="444">
        <v>80035.01</v>
      </c>
      <c r="O9" s="445">
        <f t="shared" si="5"/>
        <v>383644.96</v>
      </c>
      <c r="P9" s="446">
        <f t="shared" si="6"/>
        <v>0.277463</v>
      </c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2.75" customHeight="1">
      <c r="A10" s="442" t="s">
        <v>411</v>
      </c>
      <c r="B10" s="443">
        <v>42948.0</v>
      </c>
      <c r="C10" s="444">
        <v>134810.32</v>
      </c>
      <c r="D10" s="444">
        <v>0.0</v>
      </c>
      <c r="E10" s="444">
        <v>2500.0</v>
      </c>
      <c r="F10" s="444">
        <v>36398.75</v>
      </c>
      <c r="G10" s="445">
        <f t="shared" si="2"/>
        <v>173709.07</v>
      </c>
      <c r="H10" s="446">
        <f t="shared" si="3"/>
        <v>0.27</v>
      </c>
      <c r="I10" s="12" t="str">
        <f t="shared" ref="I10:J10" si="12">+A10</f>
        <v>PETCE 41835/2018</v>
      </c>
      <c r="J10" s="443">
        <f t="shared" si="12"/>
        <v>42948</v>
      </c>
      <c r="K10" s="444">
        <v>288452.92</v>
      </c>
      <c r="L10" s="444">
        <v>0.0</v>
      </c>
      <c r="M10" s="444">
        <v>5000.0</v>
      </c>
      <c r="N10" s="444">
        <v>80035.01</v>
      </c>
      <c r="O10" s="445">
        <f t="shared" si="5"/>
        <v>373487.93</v>
      </c>
      <c r="P10" s="446">
        <f t="shared" si="6"/>
        <v>0.277463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2.75" customHeight="1">
      <c r="A11" s="442" t="s">
        <v>412</v>
      </c>
      <c r="B11" s="443">
        <v>42979.0</v>
      </c>
      <c r="C11" s="444">
        <v>134810.32</v>
      </c>
      <c r="D11" s="444">
        <v>0.0</v>
      </c>
      <c r="E11" s="444">
        <v>2500.0</v>
      </c>
      <c r="F11" s="444">
        <v>36398.75</v>
      </c>
      <c r="G11" s="445">
        <f t="shared" si="2"/>
        <v>173709.07</v>
      </c>
      <c r="H11" s="446">
        <f t="shared" si="3"/>
        <v>0.27</v>
      </c>
      <c r="I11" s="12" t="str">
        <f t="shared" ref="I11:J11" si="13">+A11</f>
        <v>PETCE 47757/2018</v>
      </c>
      <c r="J11" s="443">
        <f t="shared" si="13"/>
        <v>42979</v>
      </c>
      <c r="K11" s="444">
        <v>288452.92</v>
      </c>
      <c r="L11" s="444">
        <v>0.0</v>
      </c>
      <c r="M11" s="444">
        <v>5000.0</v>
      </c>
      <c r="N11" s="444">
        <v>80035.01</v>
      </c>
      <c r="O11" s="445">
        <f t="shared" si="5"/>
        <v>373487.93</v>
      </c>
      <c r="P11" s="446">
        <f t="shared" si="6"/>
        <v>0.277463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2.75" customHeight="1">
      <c r="A12" s="442" t="s">
        <v>413</v>
      </c>
      <c r="B12" s="443">
        <v>43009.0</v>
      </c>
      <c r="C12" s="444">
        <v>134810.32</v>
      </c>
      <c r="D12" s="444">
        <v>0.0</v>
      </c>
      <c r="E12" s="444">
        <v>2500.0</v>
      </c>
      <c r="F12" s="444">
        <v>36398.75</v>
      </c>
      <c r="G12" s="445">
        <f t="shared" si="2"/>
        <v>173709.07</v>
      </c>
      <c r="H12" s="446">
        <f t="shared" si="3"/>
        <v>0.27</v>
      </c>
      <c r="I12" s="12" t="str">
        <f t="shared" ref="I12:J12" si="14">+A12</f>
        <v>PETCE 52443/2018</v>
      </c>
      <c r="J12" s="443">
        <f t="shared" si="14"/>
        <v>43009</v>
      </c>
      <c r="K12" s="444">
        <v>290580.07</v>
      </c>
      <c r="L12" s="444">
        <v>0.0</v>
      </c>
      <c r="M12" s="444">
        <v>5000.0</v>
      </c>
      <c r="N12" s="444">
        <v>80609.34</v>
      </c>
      <c r="O12" s="445">
        <f t="shared" si="5"/>
        <v>376189.41</v>
      </c>
      <c r="P12" s="446">
        <f t="shared" si="6"/>
        <v>0.277408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442" t="s">
        <v>414</v>
      </c>
      <c r="B13" s="443">
        <v>43040.0</v>
      </c>
      <c r="C13" s="444">
        <v>134810.32</v>
      </c>
      <c r="D13" s="444">
        <v>0.0</v>
      </c>
      <c r="E13" s="444">
        <v>2500.0</v>
      </c>
      <c r="F13" s="444">
        <v>36398.75</v>
      </c>
      <c r="G13" s="445">
        <f t="shared" si="2"/>
        <v>173709.07</v>
      </c>
      <c r="H13" s="446">
        <f t="shared" si="3"/>
        <v>0.27</v>
      </c>
      <c r="I13" s="12" t="str">
        <f t="shared" ref="I13:J13" si="15">+A13</f>
        <v>PETCE 60441/2018</v>
      </c>
      <c r="J13" s="443">
        <f t="shared" si="15"/>
        <v>43040</v>
      </c>
      <c r="K13" s="444">
        <f>321051.17+181810.89</f>
        <v>502862.06</v>
      </c>
      <c r="L13" s="444">
        <f>19729.21</f>
        <v>19729.21</v>
      </c>
      <c r="M13" s="444">
        <f>5500+2967.21</f>
        <v>8467.21</v>
      </c>
      <c r="N13" s="444">
        <v>88836.53</v>
      </c>
      <c r="O13" s="445">
        <f t="shared" si="5"/>
        <v>619895.01</v>
      </c>
      <c r="P13" s="446">
        <f t="shared" si="6"/>
        <v>0.176662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2.75" customHeight="1">
      <c r="A14" s="442" t="s">
        <v>415</v>
      </c>
      <c r="B14" s="443">
        <v>43070.0</v>
      </c>
      <c r="C14" s="444">
        <f>134810.32+134810.32</f>
        <v>269620.64</v>
      </c>
      <c r="D14" s="444">
        <v>0.0</v>
      </c>
      <c r="E14" s="444">
        <v>2500.0</v>
      </c>
      <c r="F14" s="444">
        <f>36398.75+36398.75</f>
        <v>72797.5</v>
      </c>
      <c r="G14" s="445">
        <f t="shared" si="2"/>
        <v>344918.14</v>
      </c>
      <c r="H14" s="446">
        <f t="shared" si="3"/>
        <v>0.27</v>
      </c>
      <c r="I14" s="12" t="str">
        <f t="shared" ref="I14:J14" si="16">+A14</f>
        <v>PETCE 65137/218</v>
      </c>
      <c r="J14" s="443">
        <f t="shared" si="16"/>
        <v>43070</v>
      </c>
      <c r="K14" s="444">
        <f>321051.17+321051.17</f>
        <v>642102.34</v>
      </c>
      <c r="L14" s="444">
        <f>26345.63</f>
        <v>26345.63</v>
      </c>
      <c r="M14" s="444">
        <f>5500</f>
        <v>5500</v>
      </c>
      <c r="N14" s="444">
        <f>88836.53+88836.53</f>
        <v>177673.06</v>
      </c>
      <c r="O14" s="445">
        <f t="shared" si="5"/>
        <v>851621.03</v>
      </c>
      <c r="P14" s="446">
        <f t="shared" si="6"/>
        <v>0.276705</v>
      </c>
      <c r="Q14" s="447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2"/>
      <c r="B15" s="448"/>
      <c r="C15" s="447"/>
      <c r="D15" s="447"/>
      <c r="E15" s="447"/>
      <c r="F15" s="447"/>
      <c r="G15" s="445">
        <f t="shared" si="2"/>
        <v>0</v>
      </c>
      <c r="H15" s="446">
        <f t="shared" si="3"/>
        <v>0</v>
      </c>
      <c r="I15" s="12"/>
      <c r="J15" s="448"/>
      <c r="K15" s="447"/>
      <c r="L15" s="447"/>
      <c r="M15" s="447"/>
      <c r="N15" s="447"/>
      <c r="O15" s="445">
        <f t="shared" si="5"/>
        <v>0</v>
      </c>
      <c r="P15" s="446">
        <f t="shared" si="6"/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2"/>
      <c r="B16" s="449" t="s">
        <v>220</v>
      </c>
      <c r="C16" s="445">
        <f t="shared" ref="C16:G16" si="17">SUM(C3:C15)</f>
        <v>1742811.6</v>
      </c>
      <c r="D16" s="445">
        <f t="shared" si="17"/>
        <v>38670.74</v>
      </c>
      <c r="E16" s="445">
        <f t="shared" si="17"/>
        <v>34500</v>
      </c>
      <c r="F16" s="445">
        <f t="shared" si="17"/>
        <v>470558.72</v>
      </c>
      <c r="G16" s="445">
        <f t="shared" si="17"/>
        <v>2286541.06</v>
      </c>
      <c r="H16" s="446">
        <f t="shared" si="3"/>
        <v>0.27</v>
      </c>
      <c r="I16" s="12"/>
      <c r="J16" s="449" t="s">
        <v>220</v>
      </c>
      <c r="K16" s="445">
        <f t="shared" ref="K16:O16" si="18">SUM(K3:K15)</f>
        <v>4024298.37</v>
      </c>
      <c r="L16" s="445">
        <f t="shared" si="18"/>
        <v>114328.35</v>
      </c>
      <c r="M16" s="445">
        <f t="shared" si="18"/>
        <v>63967.21</v>
      </c>
      <c r="N16" s="445">
        <f t="shared" si="18"/>
        <v>1065457.01</v>
      </c>
      <c r="O16" s="445">
        <f t="shared" si="18"/>
        <v>5268050.94</v>
      </c>
      <c r="P16" s="446">
        <f t="shared" si="6"/>
        <v>0.264756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2.75" customHeight="1">
      <c r="A17" s="12"/>
      <c r="B17" s="12"/>
      <c r="C17" s="12"/>
      <c r="D17" s="12"/>
      <c r="E17" s="12"/>
      <c r="F17" s="447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2"/>
      <c r="B18" s="12"/>
      <c r="C18" s="12"/>
      <c r="D18" s="12"/>
      <c r="E18" s="12"/>
      <c r="F18" s="12"/>
      <c r="G18" s="12"/>
      <c r="H18" s="447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447">
        <f>+N16</f>
        <v>1065457.01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2"/>
      <c r="B20" s="440" t="s">
        <v>416</v>
      </c>
      <c r="C20" s="41"/>
      <c r="D20" s="41"/>
      <c r="E20" s="41"/>
      <c r="F20" s="41"/>
      <c r="G20" s="42"/>
      <c r="H20" s="12"/>
      <c r="I20" s="12"/>
      <c r="J20" s="12"/>
      <c r="K20" s="447" t="str">
        <f>+E22</f>
        <v/>
      </c>
      <c r="L20" s="12"/>
      <c r="M20" s="12"/>
      <c r="N20" s="447">
        <f>++F16</f>
        <v>470558.72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2.75" customHeight="1">
      <c r="A21" s="12"/>
      <c r="B21" s="441" t="s">
        <v>398</v>
      </c>
      <c r="C21" s="441" t="s">
        <v>399</v>
      </c>
      <c r="D21" s="441" t="s">
        <v>400</v>
      </c>
      <c r="E21" s="441" t="s">
        <v>401</v>
      </c>
      <c r="F21" s="441" t="s">
        <v>402</v>
      </c>
      <c r="G21" s="441" t="s">
        <v>403</v>
      </c>
      <c r="H21" s="12"/>
      <c r="I21" s="12"/>
      <c r="J21" s="12"/>
      <c r="K21" s="450" t="str">
        <f>+F22</f>
        <v/>
      </c>
      <c r="L21" s="450"/>
      <c r="M21" s="450"/>
      <c r="N21" s="450">
        <f>+F35</f>
        <v>0</v>
      </c>
      <c r="O21" s="450" t="s">
        <v>417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2.75" customHeight="1">
      <c r="A22" s="12" t="str">
        <f t="shared" ref="A22:B22" si="19">+A3</f>
        <v>PETCE 3590/2018</v>
      </c>
      <c r="B22" s="443">
        <f t="shared" si="19"/>
        <v>42736</v>
      </c>
      <c r="C22" s="444"/>
      <c r="D22" s="444"/>
      <c r="E22" s="444"/>
      <c r="F22" s="444"/>
      <c r="G22" s="445">
        <f t="shared" ref="G22:G34" si="21">SUM(C22:F22)</f>
        <v>0</v>
      </c>
      <c r="H22" s="446">
        <f t="shared" ref="H22:H35" si="22">IF(F22=0,0,ROUND(+F22/C22,6))</f>
        <v>0</v>
      </c>
      <c r="I22" s="12"/>
      <c r="J22" s="12"/>
      <c r="K22" s="450"/>
      <c r="L22" s="450"/>
      <c r="M22" s="450"/>
      <c r="N22" s="450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2" t="str">
        <f t="shared" ref="A23:B23" si="20">+A4</f>
        <v>PETCE 9575/2018</v>
      </c>
      <c r="B23" s="443">
        <f t="shared" si="20"/>
        <v>42767</v>
      </c>
      <c r="C23" s="444"/>
      <c r="D23" s="444"/>
      <c r="E23" s="444"/>
      <c r="F23" s="444"/>
      <c r="G23" s="445">
        <f t="shared" si="21"/>
        <v>0</v>
      </c>
      <c r="H23" s="446">
        <f t="shared" si="22"/>
        <v>0</v>
      </c>
      <c r="I23" s="12"/>
      <c r="J23" s="12"/>
      <c r="K23" s="450"/>
      <c r="L23" s="450"/>
      <c r="M23" s="450"/>
      <c r="N23" s="450">
        <f>SUM(N19:N22)</f>
        <v>1536015.73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2" t="str">
        <f t="shared" ref="A24:B24" si="23">+A5</f>
        <v>PETCE 14545/2018</v>
      </c>
      <c r="B24" s="443">
        <f t="shared" si="23"/>
        <v>42795</v>
      </c>
      <c r="C24" s="444"/>
      <c r="D24" s="444"/>
      <c r="E24" s="444"/>
      <c r="F24" s="444"/>
      <c r="G24" s="445">
        <f t="shared" si="21"/>
        <v>0</v>
      </c>
      <c r="H24" s="446">
        <f t="shared" si="22"/>
        <v>0</v>
      </c>
      <c r="I24" s="12"/>
      <c r="J24" s="12"/>
      <c r="K24" s="450"/>
      <c r="L24" s="450"/>
      <c r="M24" s="450"/>
      <c r="N24" s="450">
        <v>-613476.56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2" t="str">
        <f t="shared" ref="A25:B25" si="24">+A6</f>
        <v>PETCE 20151/2018</v>
      </c>
      <c r="B25" s="443">
        <f t="shared" si="24"/>
        <v>42826</v>
      </c>
      <c r="C25" s="444"/>
      <c r="D25" s="444"/>
      <c r="E25" s="444"/>
      <c r="F25" s="444"/>
      <c r="G25" s="445">
        <f t="shared" si="21"/>
        <v>0</v>
      </c>
      <c r="H25" s="446">
        <f t="shared" si="22"/>
        <v>0</v>
      </c>
      <c r="I25" s="12"/>
      <c r="J25" s="12"/>
      <c r="K25" s="450"/>
      <c r="L25" s="450"/>
      <c r="M25" s="450" t="s">
        <v>418</v>
      </c>
      <c r="N25" s="450">
        <f>SUM(N23:N24)</f>
        <v>922539.17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2" t="str">
        <f t="shared" ref="A26:B26" si="25">+A7</f>
        <v>PETCE 25421/2018</v>
      </c>
      <c r="B26" s="443">
        <f t="shared" si="25"/>
        <v>42856</v>
      </c>
      <c r="C26" s="444"/>
      <c r="D26" s="444"/>
      <c r="E26" s="444"/>
      <c r="F26" s="444"/>
      <c r="G26" s="445">
        <f t="shared" si="21"/>
        <v>0</v>
      </c>
      <c r="H26" s="446">
        <f t="shared" si="22"/>
        <v>0</v>
      </c>
      <c r="I26" s="12"/>
      <c r="J26" s="12"/>
      <c r="K26" s="450"/>
      <c r="L26" s="450"/>
      <c r="M26" s="450"/>
      <c r="N26" s="450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2" t="str">
        <f t="shared" ref="A27:B27" si="26">+A8</f>
        <v>PETCE 30423/2018</v>
      </c>
      <c r="B27" s="443">
        <f t="shared" si="26"/>
        <v>42887</v>
      </c>
      <c r="C27" s="444"/>
      <c r="D27" s="444"/>
      <c r="E27" s="444"/>
      <c r="F27" s="444"/>
      <c r="G27" s="445">
        <f t="shared" si="21"/>
        <v>0</v>
      </c>
      <c r="H27" s="446">
        <f t="shared" si="22"/>
        <v>0</v>
      </c>
      <c r="I27" s="12"/>
      <c r="J27" s="12"/>
      <c r="K27" s="450"/>
      <c r="L27" s="450"/>
      <c r="M27" s="450"/>
      <c r="N27" s="450">
        <f>+C35+D35+E35</f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12" t="str">
        <f t="shared" ref="A28:B28" si="27">+A9</f>
        <v>PETCE 36176/2018</v>
      </c>
      <c r="B28" s="443">
        <f t="shared" si="27"/>
        <v>42917</v>
      </c>
      <c r="C28" s="444"/>
      <c r="D28" s="444"/>
      <c r="E28" s="444"/>
      <c r="F28" s="444"/>
      <c r="G28" s="445">
        <f t="shared" si="21"/>
        <v>0</v>
      </c>
      <c r="H28" s="446">
        <f t="shared" si="22"/>
        <v>0</v>
      </c>
      <c r="I28" s="12"/>
      <c r="J28" s="12"/>
      <c r="K28" s="450"/>
      <c r="L28" s="450"/>
      <c r="M28" s="450"/>
      <c r="N28" s="12">
        <v>-109522.53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2" t="str">
        <f t="shared" ref="A29:B29" si="28">+A10</f>
        <v>PETCE 41835/2018</v>
      </c>
      <c r="B29" s="443">
        <f t="shared" si="28"/>
        <v>42948</v>
      </c>
      <c r="C29" s="444"/>
      <c r="D29" s="444"/>
      <c r="E29" s="444"/>
      <c r="F29" s="444"/>
      <c r="G29" s="445">
        <f t="shared" si="21"/>
        <v>0</v>
      </c>
      <c r="H29" s="446">
        <f t="shared" si="22"/>
        <v>0</v>
      </c>
      <c r="I29" s="12"/>
      <c r="J29" s="12"/>
      <c r="K29" s="450"/>
      <c r="L29" s="450"/>
      <c r="M29" s="450" t="s">
        <v>419</v>
      </c>
      <c r="N29" s="450">
        <f>SUM(N27:N28)</f>
        <v>-109522.53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12" t="str">
        <f t="shared" ref="A30:B30" si="29">+A11</f>
        <v>PETCE 47757/2018</v>
      </c>
      <c r="B30" s="443">
        <f t="shared" si="29"/>
        <v>42979</v>
      </c>
      <c r="C30" s="444"/>
      <c r="D30" s="444"/>
      <c r="E30" s="444"/>
      <c r="F30" s="444"/>
      <c r="G30" s="445">
        <f t="shared" si="21"/>
        <v>0</v>
      </c>
      <c r="H30" s="446">
        <f t="shared" si="22"/>
        <v>0</v>
      </c>
      <c r="I30" s="12"/>
      <c r="J30" s="12"/>
      <c r="K30" s="450"/>
      <c r="L30" s="450"/>
      <c r="M30" s="450"/>
      <c r="N30" s="450" t="str">
        <f>C22</f>
        <v/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12" t="str">
        <f t="shared" ref="A31:B31" si="30">+A12</f>
        <v>PETCE 52443/2018</v>
      </c>
      <c r="B31" s="443">
        <f t="shared" si="30"/>
        <v>43009</v>
      </c>
      <c r="C31" s="444"/>
      <c r="D31" s="444"/>
      <c r="E31" s="444"/>
      <c r="F31" s="444"/>
      <c r="G31" s="445">
        <f t="shared" si="21"/>
        <v>0</v>
      </c>
      <c r="H31" s="446">
        <f t="shared" si="22"/>
        <v>0</v>
      </c>
      <c r="I31" s="12"/>
      <c r="J31" s="12"/>
      <c r="K31" s="450"/>
      <c r="L31" s="450"/>
      <c r="M31" s="450"/>
      <c r="N31" s="450" t="str">
        <f>E22</f>
        <v/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2" t="str">
        <f t="shared" ref="A32:B32" si="31">+A13</f>
        <v>PETCE 60441/2018</v>
      </c>
      <c r="B32" s="443">
        <f t="shared" si="31"/>
        <v>43040</v>
      </c>
      <c r="C32" s="444"/>
      <c r="D32" s="444"/>
      <c r="E32" s="444"/>
      <c r="F32" s="444"/>
      <c r="G32" s="445">
        <f t="shared" si="21"/>
        <v>0</v>
      </c>
      <c r="H32" s="446">
        <f t="shared" si="22"/>
        <v>0</v>
      </c>
      <c r="I32" s="12"/>
      <c r="J32" s="12"/>
      <c r="K32" s="450"/>
      <c r="L32" s="450"/>
      <c r="M32" s="450"/>
      <c r="N32" s="450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12.75" customHeight="1">
      <c r="A33" s="12" t="str">
        <f t="shared" ref="A33:B33" si="32">+A14</f>
        <v>PETCE 65137/218</v>
      </c>
      <c r="B33" s="443">
        <f t="shared" si="32"/>
        <v>43070</v>
      </c>
      <c r="C33" s="444"/>
      <c r="D33" s="444"/>
      <c r="E33" s="444"/>
      <c r="F33" s="444"/>
      <c r="G33" s="445">
        <f t="shared" si="21"/>
        <v>0</v>
      </c>
      <c r="H33" s="446">
        <f t="shared" si="22"/>
        <v>0</v>
      </c>
      <c r="I33" s="12"/>
      <c r="J33" s="12"/>
      <c r="K33" s="450"/>
      <c r="L33" s="450"/>
      <c r="M33" s="450" t="s">
        <v>420</v>
      </c>
      <c r="N33" s="450">
        <f>+C16+D16+E16</f>
        <v>1815982.34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2.75" customHeight="1">
      <c r="A34" s="12"/>
      <c r="B34" s="448"/>
      <c r="C34" s="447"/>
      <c r="D34" s="447"/>
      <c r="E34" s="447"/>
      <c r="F34" s="447"/>
      <c r="G34" s="445">
        <f t="shared" si="21"/>
        <v>0</v>
      </c>
      <c r="H34" s="446">
        <f t="shared" si="22"/>
        <v>0</v>
      </c>
      <c r="I34" s="12"/>
      <c r="J34" s="12"/>
      <c r="K34" s="450"/>
      <c r="L34" s="450"/>
      <c r="M34" s="450"/>
      <c r="N34" s="450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2"/>
      <c r="B35" s="449" t="s">
        <v>220</v>
      </c>
      <c r="C35" s="445">
        <f t="shared" ref="C35:G35" si="33">SUM(C22:C34)</f>
        <v>0</v>
      </c>
      <c r="D35" s="445">
        <f t="shared" si="33"/>
        <v>0</v>
      </c>
      <c r="E35" s="445">
        <f t="shared" si="33"/>
        <v>0</v>
      </c>
      <c r="F35" s="445">
        <f t="shared" si="33"/>
        <v>0</v>
      </c>
      <c r="G35" s="445">
        <f t="shared" si="33"/>
        <v>0</v>
      </c>
      <c r="H35" s="446">
        <f t="shared" si="22"/>
        <v>0</v>
      </c>
      <c r="I35" s="12"/>
      <c r="J35" s="12"/>
      <c r="K35" s="450"/>
      <c r="L35" s="450"/>
      <c r="M35" s="450" t="s">
        <v>421</v>
      </c>
      <c r="N35" s="450">
        <f>+K16+L16+M16</f>
        <v>4202593.93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12"/>
      <c r="B36" s="12"/>
      <c r="C36" s="44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ht="15.75" customHeight="1">
      <c r="A37" s="451" t="s">
        <v>422</v>
      </c>
      <c r="B37" s="12"/>
      <c r="C37" s="452" t="s">
        <v>423</v>
      </c>
      <c r="D37" s="452" t="s">
        <v>128</v>
      </c>
      <c r="E37" s="452" t="s">
        <v>424</v>
      </c>
      <c r="F37" s="447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ht="15.75" customHeight="1">
      <c r="A38" s="453" t="s">
        <v>425</v>
      </c>
      <c r="B38" s="12" t="s">
        <v>426</v>
      </c>
      <c r="C38" s="454">
        <v>565690.72</v>
      </c>
      <c r="D38" s="454">
        <f t="shared" ref="D38:D39" si="34">+E38-C38</f>
        <v>-38813.37</v>
      </c>
      <c r="E38" s="454">
        <f>SUM(C3:C6)</f>
        <v>526877.35</v>
      </c>
      <c r="F38" s="453" t="s">
        <v>427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ht="15.75" customHeight="1">
      <c r="A39" s="453" t="s">
        <v>428</v>
      </c>
      <c r="B39" s="12" t="s">
        <v>429</v>
      </c>
      <c r="C39" s="454">
        <v>110627.42</v>
      </c>
      <c r="D39" s="454">
        <f t="shared" si="34"/>
        <v>26824.27</v>
      </c>
      <c r="E39" s="454">
        <f>+C7</f>
        <v>137451.69</v>
      </c>
      <c r="F39" s="453" t="s">
        <v>430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ht="15.75" customHeight="1">
      <c r="A40" s="453"/>
      <c r="B40" s="12"/>
      <c r="C40" s="454"/>
      <c r="D40" s="454"/>
      <c r="E40" s="454"/>
      <c r="F40" s="453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ht="15.75" customHeight="1">
      <c r="A41" s="453" t="s">
        <v>431</v>
      </c>
      <c r="B41" s="12" t="s">
        <v>432</v>
      </c>
      <c r="C41" s="454">
        <v>294971.03</v>
      </c>
      <c r="D41" s="454">
        <f t="shared" ref="D41:D45" si="35">+E41-C41</f>
        <v>-8960.69</v>
      </c>
      <c r="E41" s="454">
        <f t="shared" ref="E41:E45" si="36">+K3</f>
        <v>286010.34</v>
      </c>
      <c r="F41" s="453" t="s">
        <v>433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ht="15.75" customHeight="1">
      <c r="A42" s="453" t="s">
        <v>434</v>
      </c>
      <c r="B42" s="12" t="s">
        <v>435</v>
      </c>
      <c r="C42" s="454">
        <v>294971.03</v>
      </c>
      <c r="D42" s="454">
        <f t="shared" si="35"/>
        <v>-8960.69</v>
      </c>
      <c r="E42" s="454">
        <f t="shared" si="36"/>
        <v>286010.34</v>
      </c>
      <c r="F42" s="453" t="s">
        <v>436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15.75" customHeight="1">
      <c r="A43" s="453" t="s">
        <v>437</v>
      </c>
      <c r="B43" s="12" t="s">
        <v>438</v>
      </c>
      <c r="C43" s="454">
        <v>294971.03</v>
      </c>
      <c r="D43" s="454">
        <f t="shared" si="35"/>
        <v>-8960.69</v>
      </c>
      <c r="E43" s="454">
        <f t="shared" si="36"/>
        <v>286010.34</v>
      </c>
      <c r="F43" s="453" t="s">
        <v>439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ht="15.75" customHeight="1">
      <c r="A44" s="453" t="s">
        <v>440</v>
      </c>
      <c r="B44" s="12" t="s">
        <v>441</v>
      </c>
      <c r="C44" s="454">
        <v>294971.03</v>
      </c>
      <c r="D44" s="454">
        <f t="shared" si="35"/>
        <v>-8960.69</v>
      </c>
      <c r="E44" s="454">
        <f t="shared" si="36"/>
        <v>286010.34</v>
      </c>
      <c r="F44" s="453" t="s">
        <v>442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ht="15.75" customHeight="1">
      <c r="A45" s="453" t="s">
        <v>443</v>
      </c>
      <c r="B45" s="12" t="s">
        <v>444</v>
      </c>
      <c r="C45" s="454">
        <v>294971.03</v>
      </c>
      <c r="D45" s="454">
        <f t="shared" si="35"/>
        <v>-4070.17</v>
      </c>
      <c r="E45" s="454">
        <f t="shared" si="36"/>
        <v>290900.86</v>
      </c>
      <c r="F45" s="453" t="s">
        <v>445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t="15.75" customHeight="1">
      <c r="A46" s="453"/>
      <c r="B46" s="12"/>
      <c r="C46" s="454"/>
      <c r="D46" s="454"/>
      <c r="E46" s="454"/>
      <c r="F46" s="453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5.75" customHeight="1">
      <c r="A47" s="453"/>
      <c r="B47" s="453"/>
      <c r="C47" s="453"/>
      <c r="D47" s="453"/>
      <c r="E47" s="453"/>
      <c r="F47" s="45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5.75" customHeight="1">
      <c r="A48" s="453" t="s">
        <v>446</v>
      </c>
      <c r="B48" s="12" t="s">
        <v>447</v>
      </c>
      <c r="C48" s="454">
        <v>74715.6</v>
      </c>
      <c r="D48" s="454">
        <f t="shared" ref="D48:D49" si="37">+E48-C48</f>
        <v>-74715.6</v>
      </c>
      <c r="E48" s="454">
        <f>SUM(C23:C25)</f>
        <v>0</v>
      </c>
      <c r="F48" s="453" t="s">
        <v>448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5.75" customHeight="1">
      <c r="A49" s="453" t="s">
        <v>449</v>
      </c>
      <c r="B49" s="12" t="s">
        <v>450</v>
      </c>
      <c r="C49" s="454">
        <v>24905.2</v>
      </c>
      <c r="D49" s="454">
        <f t="shared" si="37"/>
        <v>-24905.2</v>
      </c>
      <c r="E49" s="454" t="str">
        <f>+C26</f>
        <v/>
      </c>
      <c r="F49" s="453" t="s">
        <v>451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5.75" customHeight="1">
      <c r="A50" s="453"/>
      <c r="B50" s="12"/>
      <c r="C50" s="454"/>
      <c r="D50" s="454"/>
      <c r="E50" s="454"/>
      <c r="F50" s="453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5.75" customHeight="1">
      <c r="A51" s="451" t="s">
        <v>452</v>
      </c>
      <c r="B51" s="12"/>
      <c r="C51" s="454"/>
      <c r="D51" s="454"/>
      <c r="E51" s="454"/>
      <c r="F51" s="453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453" t="str">
        <f>+A38</f>
        <v>JAN A ABR PCR</v>
      </c>
      <c r="B52" s="12" t="s">
        <v>426</v>
      </c>
      <c r="C52" s="454">
        <v>20578.38</v>
      </c>
      <c r="D52" s="454">
        <f t="shared" ref="D52:D53" si="38">+E52-C52</f>
        <v>7588.58</v>
      </c>
      <c r="E52" s="454">
        <f>SUM(D3:D6)</f>
        <v>28166.96</v>
      </c>
      <c r="F52" s="453" t="s">
        <v>427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5.75" customHeight="1">
      <c r="A53" s="453" t="s">
        <v>428</v>
      </c>
      <c r="B53" s="12"/>
      <c r="C53" s="454">
        <v>0.0</v>
      </c>
      <c r="D53" s="454">
        <f t="shared" si="38"/>
        <v>10503.78</v>
      </c>
      <c r="E53" s="454">
        <f>+D7</f>
        <v>10503.78</v>
      </c>
      <c r="F53" s="453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5.75" customHeight="1">
      <c r="A54" s="453"/>
      <c r="B54" s="12"/>
      <c r="C54" s="454"/>
      <c r="D54" s="454"/>
      <c r="E54" s="454"/>
      <c r="F54" s="453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5.75" customHeight="1">
      <c r="A55" s="453" t="str">
        <f t="shared" ref="A55:A56" si="39">+A41</f>
        <v>JAN GEPE</v>
      </c>
      <c r="B55" s="12" t="s">
        <v>432</v>
      </c>
      <c r="C55" s="454">
        <v>34247.47</v>
      </c>
      <c r="D55" s="454">
        <f t="shared" ref="D55:D59" si="40">+E55-C55</f>
        <v>0</v>
      </c>
      <c r="E55" s="454">
        <v>34247.47</v>
      </c>
      <c r="F55" s="453" t="s">
        <v>433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5.75" customHeight="1">
      <c r="A56" s="453" t="str">
        <f t="shared" si="39"/>
        <v>FEV GEPE</v>
      </c>
      <c r="B56" s="12" t="s">
        <v>435</v>
      </c>
      <c r="C56" s="454">
        <v>8716.82</v>
      </c>
      <c r="D56" s="454">
        <f t="shared" si="40"/>
        <v>8939.47</v>
      </c>
      <c r="E56" s="454">
        <f t="shared" ref="E56:E59" si="41">+L4</f>
        <v>17656.29</v>
      </c>
      <c r="F56" s="453" t="s">
        <v>436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5.75" customHeight="1">
      <c r="A57" s="453" t="s">
        <v>437</v>
      </c>
      <c r="B57" s="12"/>
      <c r="C57" s="454">
        <v>0.0</v>
      </c>
      <c r="D57" s="454">
        <f t="shared" si="40"/>
        <v>0</v>
      </c>
      <c r="E57" s="454">
        <f t="shared" si="41"/>
        <v>0</v>
      </c>
      <c r="F57" s="45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5.75" customHeight="1">
      <c r="A58" s="453" t="str">
        <f>+A44</f>
        <v>ABR GEPE</v>
      </c>
      <c r="B58" s="12" t="s">
        <v>441</v>
      </c>
      <c r="C58" s="454">
        <v>7499.26</v>
      </c>
      <c r="D58" s="454">
        <f t="shared" si="40"/>
        <v>-7499.26</v>
      </c>
      <c r="E58" s="454">
        <f t="shared" si="41"/>
        <v>0</v>
      </c>
      <c r="F58" s="453" t="s">
        <v>442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453" t="s">
        <v>443</v>
      </c>
      <c r="B59" s="12"/>
      <c r="C59" s="454">
        <v>0.0</v>
      </c>
      <c r="D59" s="454">
        <f t="shared" si="40"/>
        <v>0</v>
      </c>
      <c r="E59" s="454">
        <f t="shared" si="41"/>
        <v>0</v>
      </c>
      <c r="F59" s="453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5.75" customHeight="1">
      <c r="A60" s="453"/>
      <c r="B60" s="12"/>
      <c r="C60" s="454"/>
      <c r="D60" s="454"/>
      <c r="E60" s="454"/>
      <c r="F60" s="453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5.75" customHeight="1">
      <c r="A61" s="453" t="s">
        <v>453</v>
      </c>
      <c r="B61" s="12"/>
      <c r="C61" s="454">
        <v>0.0</v>
      </c>
      <c r="D61" s="454">
        <f t="shared" ref="D61:D63" si="42">+E61-C61</f>
        <v>0</v>
      </c>
      <c r="E61" s="454" t="str">
        <f>+D22</f>
        <v/>
      </c>
      <c r="F61" s="453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5.75" customHeight="1">
      <c r="A62" s="453" t="str">
        <f>+A48</f>
        <v>FEV A ABR PAUL</v>
      </c>
      <c r="B62" s="12" t="s">
        <v>447</v>
      </c>
      <c r="C62" s="454">
        <v>8301.73</v>
      </c>
      <c r="D62" s="454">
        <f t="shared" si="42"/>
        <v>-8301.73</v>
      </c>
      <c r="E62" s="454">
        <f>SUM(D23:D25)</f>
        <v>0</v>
      </c>
      <c r="F62" s="453" t="s">
        <v>448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5.75" customHeight="1">
      <c r="A63" s="453" t="s">
        <v>449</v>
      </c>
      <c r="B63" s="12"/>
      <c r="C63" s="454">
        <v>0.0</v>
      </c>
      <c r="D63" s="454">
        <f t="shared" si="42"/>
        <v>0</v>
      </c>
      <c r="E63" s="454" t="str">
        <f>+D26</f>
        <v/>
      </c>
      <c r="F63" s="453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12"/>
      <c r="B64" s="12"/>
      <c r="C64" s="455"/>
      <c r="D64" s="455"/>
      <c r="E64" s="455"/>
      <c r="F64" s="453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5.75" customHeight="1">
      <c r="A65" s="12" t="s">
        <v>454</v>
      </c>
      <c r="B65" s="12"/>
      <c r="C65" s="454">
        <f>SUM(C38:C63)</f>
        <v>2330137.75</v>
      </c>
      <c r="D65" s="454">
        <f t="shared" ref="D65:D67" si="43">+E65-C65</f>
        <v>-140291.99</v>
      </c>
      <c r="E65" s="454">
        <f>SUM(E38:E63)</f>
        <v>2189845.76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5.75" customHeight="1">
      <c r="A66" s="12" t="s">
        <v>455</v>
      </c>
      <c r="B66" s="12"/>
      <c r="C66" s="450">
        <v>0.0</v>
      </c>
      <c r="D66" s="454">
        <f t="shared" si="43"/>
        <v>1536015.73</v>
      </c>
      <c r="E66" s="450">
        <f>+F16+F35+N16</f>
        <v>1536015.73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5.75" customHeight="1">
      <c r="A67" s="12" t="s">
        <v>456</v>
      </c>
      <c r="B67" s="12"/>
      <c r="C67" s="450">
        <v>0.0</v>
      </c>
      <c r="D67" s="454">
        <f t="shared" si="43"/>
        <v>98467.21</v>
      </c>
      <c r="E67" s="450">
        <f>+E16+E35+M16</f>
        <v>98467.21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5.75" customHeight="1">
      <c r="A68" s="453"/>
      <c r="B68" s="12"/>
      <c r="C68" s="456"/>
      <c r="D68" s="457"/>
      <c r="E68" s="457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5.75" customHeight="1">
      <c r="A69" s="453"/>
      <c r="B69" s="12"/>
      <c r="C69" s="450">
        <f t="shared" ref="C69:E69" si="44">+C65+C66+C67</f>
        <v>2330137.75</v>
      </c>
      <c r="D69" s="450">
        <f t="shared" si="44"/>
        <v>1494190.95</v>
      </c>
      <c r="E69" s="450">
        <f t="shared" si="44"/>
        <v>3824328.7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5.75" customHeight="1">
      <c r="A70" s="453"/>
      <c r="B70" s="12"/>
      <c r="C70" s="450"/>
      <c r="D70" s="12"/>
      <c r="E70" s="450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5.75" customHeight="1">
      <c r="A71" s="453"/>
      <c r="B71" s="12"/>
      <c r="C71" s="450"/>
      <c r="D71" s="12"/>
      <c r="E71" s="450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5.75" customHeight="1">
      <c r="A72" s="453"/>
      <c r="B72" s="12"/>
      <c r="C72" s="450"/>
      <c r="D72" s="12"/>
      <c r="E72" s="450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5.75" customHeight="1">
      <c r="A73" s="453"/>
      <c r="B73" s="12"/>
      <c r="C73" s="450"/>
      <c r="D73" s="12"/>
      <c r="E73" s="450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453"/>
      <c r="B74" s="12"/>
      <c r="C74" s="450"/>
      <c r="D74" s="12"/>
      <c r="E74" s="450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5.75" customHeight="1">
      <c r="A75" s="453"/>
      <c r="B75" s="12"/>
      <c r="C75" s="450"/>
      <c r="D75" s="12"/>
      <c r="E75" s="450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5.75" customHeight="1">
      <c r="A76" s="453"/>
      <c r="B76" s="12"/>
      <c r="C76" s="450"/>
      <c r="D76" s="12"/>
      <c r="E76" s="450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5.75" customHeight="1">
      <c r="A77" s="12"/>
      <c r="B77" s="12"/>
      <c r="C77" s="450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5.75" customHeight="1">
      <c r="A78" s="453"/>
      <c r="B78" s="12"/>
      <c r="C78" s="450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5.75" customHeight="1">
      <c r="A79" s="453"/>
      <c r="B79" s="12" t="s">
        <v>457</v>
      </c>
      <c r="C79" s="450">
        <v>26285.34</v>
      </c>
      <c r="D79" s="12" t="s">
        <v>458</v>
      </c>
      <c r="E79" s="12" t="s">
        <v>459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5.75" customHeight="1">
      <c r="A80" s="453"/>
      <c r="B80" s="12" t="s">
        <v>460</v>
      </c>
      <c r="C80" s="450">
        <v>26248.64</v>
      </c>
      <c r="D80" s="12" t="s">
        <v>458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5.75" customHeight="1">
      <c r="A81" s="453"/>
      <c r="B81" s="12"/>
      <c r="C81" s="450">
        <v>4439.12</v>
      </c>
      <c r="D81" s="12" t="s">
        <v>458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5.75" customHeight="1">
      <c r="A82" s="453"/>
      <c r="B82" s="12"/>
      <c r="C82" s="450">
        <v>26012.93</v>
      </c>
      <c r="D82" s="12" t="s">
        <v>458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5.75" customHeight="1">
      <c r="A83" s="453"/>
      <c r="B83" s="12" t="s">
        <v>460</v>
      </c>
      <c r="C83" s="450">
        <v>26248.64</v>
      </c>
      <c r="D83" s="12" t="s">
        <v>458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5.75" customHeight="1">
      <c r="A84" s="453"/>
      <c r="B84" s="12"/>
      <c r="C84" s="450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5.75" customHeight="1">
      <c r="A85" s="12"/>
      <c r="B85" s="12">
        <v>22497.8</v>
      </c>
      <c r="C85" s="450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5.75" customHeight="1">
      <c r="A86" s="12"/>
      <c r="B86" s="12">
        <v>28242.52</v>
      </c>
      <c r="C86" s="450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5.75" customHeight="1">
      <c r="A87" s="12"/>
      <c r="B87" s="12">
        <v>29587.4</v>
      </c>
      <c r="C87" s="450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5.75" customHeight="1">
      <c r="A88" s="12"/>
      <c r="B88" s="12">
        <v>19770.57</v>
      </c>
      <c r="C88" s="45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5.75" customHeight="1">
      <c r="A89" s="12"/>
      <c r="B89" s="12">
        <v>21352.21</v>
      </c>
      <c r="C89" s="450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5.75" customHeight="1">
      <c r="A90" s="12"/>
      <c r="B90" s="12">
        <v>21352.21</v>
      </c>
      <c r="C90" s="450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5.75" customHeight="1">
      <c r="A91" s="12"/>
      <c r="B91" s="12">
        <v>26150.46</v>
      </c>
      <c r="C91" s="450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5.75" customHeight="1">
      <c r="A92" s="12"/>
      <c r="B92" s="12">
        <v>26150.46</v>
      </c>
      <c r="C92" s="450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5.75" customHeight="1">
      <c r="A93" s="12"/>
      <c r="B93" s="12">
        <v>28242.52</v>
      </c>
      <c r="C93" s="450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5.75" customHeight="1">
      <c r="A94" s="12"/>
      <c r="B94" s="12">
        <v>28242.52</v>
      </c>
      <c r="C94" s="450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5.75" customHeight="1">
      <c r="A95" s="12"/>
      <c r="B95" s="12">
        <v>24905.2</v>
      </c>
      <c r="C95" s="450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5.75" customHeight="1">
      <c r="A96" s="12"/>
      <c r="B96" s="12">
        <v>18477.16</v>
      </c>
      <c r="C96" s="450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5.75" customHeight="1">
      <c r="A97" s="12"/>
      <c r="B97" s="12"/>
      <c r="C97" s="450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5.75" customHeight="1">
      <c r="A98" s="12"/>
      <c r="B98" s="12">
        <f>SUM(B85:B97)</f>
        <v>294971.03</v>
      </c>
      <c r="C98" s="450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5.75" customHeight="1">
      <c r="A99" s="12"/>
      <c r="B99" s="12"/>
      <c r="C99" s="450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5.75" customHeight="1">
      <c r="A100" s="12"/>
      <c r="B100" s="12"/>
      <c r="C100" s="450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5.75" customHeight="1">
      <c r="A101" s="12"/>
      <c r="B101" s="12"/>
      <c r="C101" s="450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5.75" customHeight="1">
      <c r="A106" s="458" t="s">
        <v>461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5.75" customHeight="1">
      <c r="A107" s="459" t="s">
        <v>462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5.75" customHeight="1">
      <c r="A108" s="458" t="s">
        <v>463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5.75" customHeight="1">
      <c r="A109" s="458" t="s">
        <v>464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5.75" customHeight="1">
      <c r="A110" s="459" t="s">
        <v>465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5.75" customHeight="1">
      <c r="A111" s="459" t="s">
        <v>466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5.75" customHeight="1">
      <c r="A112" s="460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5.75" customHeight="1">
      <c r="A113" s="461" t="s">
        <v>467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5.75" customHeight="1">
      <c r="A114" s="46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5.75" customHeight="1">
      <c r="A115" s="461" t="s">
        <v>468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5.75" customHeight="1">
      <c r="A116" s="46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5.75" customHeight="1">
      <c r="A117" s="463" t="s">
        <v>469</v>
      </c>
      <c r="B117" s="464"/>
      <c r="C117" s="464"/>
      <c r="D117" s="464"/>
      <c r="E117" s="464"/>
      <c r="F117" s="464"/>
      <c r="G117" s="465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5.75" customHeight="1">
      <c r="A118" s="466" t="s">
        <v>470</v>
      </c>
      <c r="B118" s="467" t="s">
        <v>471</v>
      </c>
      <c r="C118" s="467" t="s">
        <v>472</v>
      </c>
      <c r="D118" s="468" t="s">
        <v>473</v>
      </c>
      <c r="E118" s="468" t="s">
        <v>474</v>
      </c>
      <c r="F118" s="468" t="s">
        <v>475</v>
      </c>
      <c r="G118" s="467" t="s">
        <v>220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5.75" customHeight="1">
      <c r="A119" s="469" t="s">
        <v>476</v>
      </c>
      <c r="B119" s="470" t="s">
        <v>477</v>
      </c>
      <c r="C119" s="471" t="s">
        <v>478</v>
      </c>
      <c r="D119" s="471" t="s">
        <v>479</v>
      </c>
      <c r="E119" s="471" t="s">
        <v>480</v>
      </c>
      <c r="F119" s="471" t="s">
        <v>481</v>
      </c>
      <c r="G119" s="471" t="s">
        <v>482</v>
      </c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5.75" customHeight="1">
      <c r="A120" s="469" t="s">
        <v>483</v>
      </c>
      <c r="B120" s="470" t="s">
        <v>484</v>
      </c>
      <c r="C120" s="471" t="s">
        <v>485</v>
      </c>
      <c r="D120" s="471" t="s">
        <v>479</v>
      </c>
      <c r="E120" s="471" t="s">
        <v>480</v>
      </c>
      <c r="F120" s="471" t="s">
        <v>486</v>
      </c>
      <c r="G120" s="471" t="s">
        <v>487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5.75" customHeight="1">
      <c r="A121" s="469" t="s">
        <v>488</v>
      </c>
      <c r="B121" s="470" t="s">
        <v>489</v>
      </c>
      <c r="C121" s="471" t="s">
        <v>490</v>
      </c>
      <c r="D121" s="471" t="s">
        <v>479</v>
      </c>
      <c r="E121" s="471" t="s">
        <v>480</v>
      </c>
      <c r="F121" s="471" t="s">
        <v>491</v>
      </c>
      <c r="G121" s="471" t="s">
        <v>492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5.75" customHeight="1">
      <c r="A122" s="469" t="s">
        <v>493</v>
      </c>
      <c r="B122" s="470" t="s">
        <v>494</v>
      </c>
      <c r="C122" s="471" t="s">
        <v>495</v>
      </c>
      <c r="D122" s="471" t="s">
        <v>479</v>
      </c>
      <c r="E122" s="471" t="s">
        <v>480</v>
      </c>
      <c r="F122" s="471" t="s">
        <v>496</v>
      </c>
      <c r="G122" s="471" t="s">
        <v>497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5.75" customHeight="1">
      <c r="A123" s="469" t="s">
        <v>498</v>
      </c>
      <c r="B123" s="470" t="s">
        <v>499</v>
      </c>
      <c r="C123" s="471" t="s">
        <v>500</v>
      </c>
      <c r="D123" s="471" t="s">
        <v>501</v>
      </c>
      <c r="E123" s="471" t="s">
        <v>480</v>
      </c>
      <c r="F123" s="471" t="s">
        <v>502</v>
      </c>
      <c r="G123" s="471" t="s">
        <v>503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5.75" customHeight="1">
      <c r="A124" s="469" t="s">
        <v>504</v>
      </c>
      <c r="B124" s="470" t="s">
        <v>505</v>
      </c>
      <c r="C124" s="471" t="s">
        <v>506</v>
      </c>
      <c r="D124" s="471" t="s">
        <v>479</v>
      </c>
      <c r="E124" s="471" t="s">
        <v>480</v>
      </c>
      <c r="F124" s="471" t="s">
        <v>507</v>
      </c>
      <c r="G124" s="471" t="s">
        <v>508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5.75" customHeight="1">
      <c r="A125" s="469" t="s">
        <v>509</v>
      </c>
      <c r="B125" s="470" t="s">
        <v>510</v>
      </c>
      <c r="C125" s="471" t="s">
        <v>511</v>
      </c>
      <c r="D125" s="471" t="s">
        <v>479</v>
      </c>
      <c r="E125" s="471" t="s">
        <v>480</v>
      </c>
      <c r="F125" s="471" t="s">
        <v>512</v>
      </c>
      <c r="G125" s="471" t="s">
        <v>513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5.75" customHeight="1">
      <c r="A126" s="472" t="s">
        <v>514</v>
      </c>
      <c r="B126" s="465"/>
      <c r="C126" s="473" t="s">
        <v>515</v>
      </c>
      <c r="D126" s="473" t="s">
        <v>501</v>
      </c>
      <c r="E126" s="473" t="s">
        <v>516</v>
      </c>
      <c r="F126" s="473" t="s">
        <v>517</v>
      </c>
      <c r="G126" s="473" t="s">
        <v>518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5.75" customHeight="1">
      <c r="A127" s="461" t="s">
        <v>519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5.75" customHeight="1">
      <c r="A128" s="463" t="s">
        <v>520</v>
      </c>
      <c r="B128" s="464"/>
      <c r="C128" s="464"/>
      <c r="D128" s="464"/>
      <c r="E128" s="464"/>
      <c r="F128" s="464"/>
      <c r="G128" s="465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5.75" customHeight="1">
      <c r="A129" s="466" t="s">
        <v>470</v>
      </c>
      <c r="B129" s="467" t="s">
        <v>471</v>
      </c>
      <c r="C129" s="467" t="s">
        <v>472</v>
      </c>
      <c r="D129" s="468" t="s">
        <v>473</v>
      </c>
      <c r="E129" s="468" t="s">
        <v>474</v>
      </c>
      <c r="F129" s="468" t="s">
        <v>475</v>
      </c>
      <c r="G129" s="467" t="s">
        <v>220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5.75" customHeight="1">
      <c r="A130" s="469" t="s">
        <v>476</v>
      </c>
      <c r="B130" s="470" t="s">
        <v>477</v>
      </c>
      <c r="C130" s="471" t="s">
        <v>478</v>
      </c>
      <c r="D130" s="471" t="s">
        <v>521</v>
      </c>
      <c r="E130" s="471" t="s">
        <v>480</v>
      </c>
      <c r="F130" s="471" t="s">
        <v>481</v>
      </c>
      <c r="G130" s="471" t="s">
        <v>482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5.75" customHeight="1">
      <c r="A131" s="469" t="s">
        <v>483</v>
      </c>
      <c r="B131" s="470" t="s">
        <v>484</v>
      </c>
      <c r="C131" s="471" t="s">
        <v>485</v>
      </c>
      <c r="D131" s="471" t="s">
        <v>521</v>
      </c>
      <c r="E131" s="471" t="s">
        <v>480</v>
      </c>
      <c r="F131" s="471" t="s">
        <v>486</v>
      </c>
      <c r="G131" s="471" t="s">
        <v>487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5.75" customHeight="1">
      <c r="A132" s="469" t="s">
        <v>488</v>
      </c>
      <c r="B132" s="470" t="s">
        <v>489</v>
      </c>
      <c r="C132" s="471" t="s">
        <v>490</v>
      </c>
      <c r="D132" s="471" t="s">
        <v>521</v>
      </c>
      <c r="E132" s="471" t="s">
        <v>480</v>
      </c>
      <c r="F132" s="471" t="s">
        <v>491</v>
      </c>
      <c r="G132" s="471" t="s">
        <v>492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5.75" customHeight="1">
      <c r="A133" s="469" t="s">
        <v>493</v>
      </c>
      <c r="B133" s="470" t="s">
        <v>494</v>
      </c>
      <c r="C133" s="471" t="s">
        <v>495</v>
      </c>
      <c r="D133" s="471" t="s">
        <v>521</v>
      </c>
      <c r="E133" s="471" t="s">
        <v>480</v>
      </c>
      <c r="F133" s="471" t="s">
        <v>496</v>
      </c>
      <c r="G133" s="471" t="s">
        <v>497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5.75" customHeight="1">
      <c r="A134" s="469" t="s">
        <v>498</v>
      </c>
      <c r="B134" s="470" t="s">
        <v>499</v>
      </c>
      <c r="C134" s="471" t="s">
        <v>500</v>
      </c>
      <c r="D134" s="471" t="s">
        <v>522</v>
      </c>
      <c r="E134" s="471" t="s">
        <v>480</v>
      </c>
      <c r="F134" s="471" t="s">
        <v>502</v>
      </c>
      <c r="G134" s="471" t="s">
        <v>523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5.75" customHeight="1">
      <c r="A135" s="469" t="s">
        <v>504</v>
      </c>
      <c r="B135" s="470" t="s">
        <v>505</v>
      </c>
      <c r="C135" s="471" t="s">
        <v>506</v>
      </c>
      <c r="D135" s="471" t="s">
        <v>521</v>
      </c>
      <c r="E135" s="471" t="s">
        <v>480</v>
      </c>
      <c r="F135" s="471" t="s">
        <v>507</v>
      </c>
      <c r="G135" s="471" t="s">
        <v>508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5.75" customHeight="1">
      <c r="A136" s="469" t="s">
        <v>509</v>
      </c>
      <c r="B136" s="470" t="s">
        <v>510</v>
      </c>
      <c r="C136" s="471" t="s">
        <v>511</v>
      </c>
      <c r="D136" s="471" t="s">
        <v>521</v>
      </c>
      <c r="E136" s="471" t="s">
        <v>480</v>
      </c>
      <c r="F136" s="471" t="s">
        <v>512</v>
      </c>
      <c r="G136" s="471" t="s">
        <v>513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5.75" customHeight="1">
      <c r="A137" s="472" t="s">
        <v>514</v>
      </c>
      <c r="B137" s="465"/>
      <c r="C137" s="473" t="s">
        <v>515</v>
      </c>
      <c r="D137" s="473" t="s">
        <v>62</v>
      </c>
      <c r="E137" s="473" t="s">
        <v>516</v>
      </c>
      <c r="F137" s="473" t="s">
        <v>517</v>
      </c>
      <c r="G137" s="473" t="s">
        <v>524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5.75" customHeight="1">
      <c r="A138" s="474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5.75" customHeight="1">
      <c r="A139" s="463" t="s">
        <v>525</v>
      </c>
      <c r="B139" s="464"/>
      <c r="C139" s="464"/>
      <c r="D139" s="464"/>
      <c r="E139" s="464"/>
      <c r="F139" s="464"/>
      <c r="G139" s="465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5.75" customHeight="1">
      <c r="A140" s="466" t="s">
        <v>526</v>
      </c>
      <c r="B140" s="467" t="s">
        <v>471</v>
      </c>
      <c r="C140" s="467" t="s">
        <v>472</v>
      </c>
      <c r="D140" s="468" t="s">
        <v>473</v>
      </c>
      <c r="E140" s="468" t="s">
        <v>474</v>
      </c>
      <c r="F140" s="468" t="s">
        <v>475</v>
      </c>
      <c r="G140" s="467" t="s">
        <v>220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5.75" customHeight="1">
      <c r="A141" s="475" t="s">
        <v>476</v>
      </c>
      <c r="B141" s="476" t="s">
        <v>477</v>
      </c>
      <c r="C141" s="471" t="s">
        <v>478</v>
      </c>
      <c r="D141" s="471" t="s">
        <v>527</v>
      </c>
      <c r="E141" s="471" t="s">
        <v>480</v>
      </c>
      <c r="F141" s="471" t="s">
        <v>481</v>
      </c>
      <c r="G141" s="471" t="s">
        <v>482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5.75" customHeight="1">
      <c r="A142" s="475" t="s">
        <v>483</v>
      </c>
      <c r="B142" s="476" t="s">
        <v>484</v>
      </c>
      <c r="C142" s="471" t="s">
        <v>485</v>
      </c>
      <c r="D142" s="471" t="s">
        <v>527</v>
      </c>
      <c r="E142" s="471" t="s">
        <v>480</v>
      </c>
      <c r="F142" s="471" t="s">
        <v>486</v>
      </c>
      <c r="G142" s="471" t="s">
        <v>487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5.75" customHeight="1">
      <c r="A143" s="475" t="s">
        <v>488</v>
      </c>
      <c r="B143" s="476" t="s">
        <v>489</v>
      </c>
      <c r="C143" s="471" t="s">
        <v>490</v>
      </c>
      <c r="D143" s="471" t="s">
        <v>528</v>
      </c>
      <c r="E143" s="471" t="s">
        <v>480</v>
      </c>
      <c r="F143" s="471" t="s">
        <v>491</v>
      </c>
      <c r="G143" s="471" t="s">
        <v>529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5.75" customHeight="1">
      <c r="A144" s="475" t="s">
        <v>493</v>
      </c>
      <c r="B144" s="476" t="s">
        <v>494</v>
      </c>
      <c r="C144" s="471" t="s">
        <v>495</v>
      </c>
      <c r="D144" s="471" t="s">
        <v>527</v>
      </c>
      <c r="E144" s="471" t="s">
        <v>480</v>
      </c>
      <c r="F144" s="471" t="s">
        <v>496</v>
      </c>
      <c r="G144" s="471" t="s">
        <v>497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5.75" customHeight="1">
      <c r="A145" s="475" t="s">
        <v>498</v>
      </c>
      <c r="B145" s="476" t="s">
        <v>499</v>
      </c>
      <c r="C145" s="471" t="s">
        <v>500</v>
      </c>
      <c r="D145" s="471" t="s">
        <v>527</v>
      </c>
      <c r="E145" s="471" t="s">
        <v>480</v>
      </c>
      <c r="F145" s="471" t="s">
        <v>502</v>
      </c>
      <c r="G145" s="471" t="s">
        <v>523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5.75" customHeight="1">
      <c r="A146" s="475" t="s">
        <v>504</v>
      </c>
      <c r="B146" s="476" t="s">
        <v>505</v>
      </c>
      <c r="C146" s="471" t="s">
        <v>506</v>
      </c>
      <c r="D146" s="471" t="s">
        <v>527</v>
      </c>
      <c r="E146" s="471" t="s">
        <v>480</v>
      </c>
      <c r="F146" s="471" t="s">
        <v>507</v>
      </c>
      <c r="G146" s="471" t="s">
        <v>508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5.75" customHeight="1">
      <c r="A147" s="475" t="s">
        <v>509</v>
      </c>
      <c r="B147" s="476" t="s">
        <v>510</v>
      </c>
      <c r="C147" s="471" t="s">
        <v>511</v>
      </c>
      <c r="D147" s="471" t="s">
        <v>527</v>
      </c>
      <c r="E147" s="471" t="s">
        <v>480</v>
      </c>
      <c r="F147" s="471" t="s">
        <v>512</v>
      </c>
      <c r="G147" s="471" t="s">
        <v>513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5.75" customHeight="1">
      <c r="A148" s="472" t="s">
        <v>514</v>
      </c>
      <c r="B148" s="465"/>
      <c r="C148" s="473" t="s">
        <v>515</v>
      </c>
      <c r="D148" s="473" t="s">
        <v>528</v>
      </c>
      <c r="E148" s="473" t="s">
        <v>516</v>
      </c>
      <c r="F148" s="473" t="s">
        <v>517</v>
      </c>
      <c r="G148" s="473" t="s">
        <v>530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5.75" customHeight="1">
      <c r="A178" s="458" t="s">
        <v>461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5.75" customHeight="1">
      <c r="A179" s="459" t="s">
        <v>531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5.75" customHeight="1">
      <c r="A180" s="458" t="s">
        <v>532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5.75" customHeight="1">
      <c r="A181" s="458" t="s">
        <v>533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5.75" customHeight="1">
      <c r="A182" s="459" t="s">
        <v>534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5.75" customHeight="1">
      <c r="A183" s="458" t="s">
        <v>535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5.75" customHeigh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5.75" customHeigh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5.75" customHeight="1">
      <c r="A186" s="474" t="s">
        <v>536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5.75" customHeight="1">
      <c r="A187" s="46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5.75" customHeight="1">
      <c r="A188" s="474" t="s">
        <v>537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5.75" customHeight="1">
      <c r="A189" s="460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5.75" customHeight="1">
      <c r="A190" s="477" t="s">
        <v>538</v>
      </c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5.75" customHeight="1">
      <c r="A191" s="478" t="s">
        <v>539</v>
      </c>
      <c r="B191" s="464"/>
      <c r="C191" s="464"/>
      <c r="D191" s="464"/>
      <c r="E191" s="464"/>
      <c r="F191" s="464"/>
      <c r="G191" s="465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5.75" customHeight="1">
      <c r="A192" s="479" t="s">
        <v>470</v>
      </c>
      <c r="B192" s="480" t="s">
        <v>471</v>
      </c>
      <c r="C192" s="480" t="s">
        <v>472</v>
      </c>
      <c r="D192" s="481" t="s">
        <v>473</v>
      </c>
      <c r="E192" s="481" t="s">
        <v>474</v>
      </c>
      <c r="F192" s="481" t="s">
        <v>475</v>
      </c>
      <c r="G192" s="480" t="s">
        <v>220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5.75" customHeight="1">
      <c r="A193" s="482" t="s">
        <v>476</v>
      </c>
      <c r="B193" s="483" t="s">
        <v>477</v>
      </c>
      <c r="C193" s="484" t="s">
        <v>478</v>
      </c>
      <c r="D193" s="484" t="s">
        <v>479</v>
      </c>
      <c r="E193" s="484" t="s">
        <v>540</v>
      </c>
      <c r="F193" s="484" t="s">
        <v>481</v>
      </c>
      <c r="G193" s="484" t="s">
        <v>541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5.75" customHeight="1">
      <c r="A194" s="482" t="s">
        <v>488</v>
      </c>
      <c r="B194" s="483" t="s">
        <v>489</v>
      </c>
      <c r="C194" s="484" t="s">
        <v>490</v>
      </c>
      <c r="D194" s="484" t="s">
        <v>479</v>
      </c>
      <c r="E194" s="484" t="s">
        <v>540</v>
      </c>
      <c r="F194" s="484" t="s">
        <v>491</v>
      </c>
      <c r="G194" s="484" t="s">
        <v>542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5.75" customHeight="1">
      <c r="A195" s="482" t="s">
        <v>493</v>
      </c>
      <c r="B195" s="483" t="s">
        <v>494</v>
      </c>
      <c r="C195" s="484" t="s">
        <v>495</v>
      </c>
      <c r="D195" s="484" t="s">
        <v>479</v>
      </c>
      <c r="E195" s="484" t="s">
        <v>540</v>
      </c>
      <c r="F195" s="484" t="s">
        <v>496</v>
      </c>
      <c r="G195" s="484" t="s">
        <v>543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5.75" customHeight="1">
      <c r="A196" s="482" t="s">
        <v>498</v>
      </c>
      <c r="B196" s="483" t="s">
        <v>499</v>
      </c>
      <c r="C196" s="484" t="s">
        <v>500</v>
      </c>
      <c r="D196" s="484"/>
      <c r="E196" s="484" t="s">
        <v>540</v>
      </c>
      <c r="F196" s="484" t="s">
        <v>502</v>
      </c>
      <c r="G196" s="484" t="s">
        <v>544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5.75" customHeight="1">
      <c r="A197" s="482" t="s">
        <v>504</v>
      </c>
      <c r="B197" s="483" t="s">
        <v>505</v>
      </c>
      <c r="C197" s="484" t="s">
        <v>506</v>
      </c>
      <c r="D197" s="484" t="s">
        <v>479</v>
      </c>
      <c r="E197" s="484" t="s">
        <v>540</v>
      </c>
      <c r="F197" s="484" t="s">
        <v>507</v>
      </c>
      <c r="G197" s="484" t="s">
        <v>545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5.75" customHeight="1">
      <c r="A198" s="482" t="s">
        <v>509</v>
      </c>
      <c r="B198" s="483" t="s">
        <v>510</v>
      </c>
      <c r="C198" s="484" t="s">
        <v>511</v>
      </c>
      <c r="D198" s="484" t="s">
        <v>479</v>
      </c>
      <c r="E198" s="484" t="s">
        <v>540</v>
      </c>
      <c r="F198" s="484" t="s">
        <v>512</v>
      </c>
      <c r="G198" s="484" t="s">
        <v>546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31.5" customHeight="1">
      <c r="A199" s="485" t="s">
        <v>547</v>
      </c>
      <c r="B199" s="465"/>
      <c r="C199" s="486" t="s">
        <v>548</v>
      </c>
      <c r="D199" s="486" t="s">
        <v>62</v>
      </c>
      <c r="E199" s="486" t="s">
        <v>549</v>
      </c>
      <c r="F199" s="486" t="s">
        <v>550</v>
      </c>
      <c r="G199" s="486" t="s">
        <v>551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5.75" customHeight="1">
      <c r="A200" s="487"/>
      <c r="B200" s="487"/>
      <c r="C200" s="487"/>
      <c r="D200" s="487"/>
      <c r="E200" s="487"/>
      <c r="F200" s="487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5.75" customHeight="1">
      <c r="A202" s="488" t="s">
        <v>552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38.25" customHeight="1">
      <c r="A204" s="489" t="s">
        <v>553</v>
      </c>
      <c r="B204" s="464"/>
      <c r="C204" s="464"/>
      <c r="D204" s="464"/>
      <c r="E204" s="464"/>
      <c r="F204" s="464"/>
      <c r="G204" s="465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5.75" customHeight="1">
      <c r="A205" s="490" t="s">
        <v>470</v>
      </c>
      <c r="B205" s="491" t="s">
        <v>471</v>
      </c>
      <c r="C205" s="491" t="s">
        <v>472</v>
      </c>
      <c r="D205" s="492" t="s">
        <v>473</v>
      </c>
      <c r="E205" s="492" t="s">
        <v>474</v>
      </c>
      <c r="F205" s="492" t="s">
        <v>475</v>
      </c>
      <c r="G205" s="491" t="s">
        <v>220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5.75" customHeight="1">
      <c r="A206" s="493" t="s">
        <v>483</v>
      </c>
      <c r="B206" s="494" t="s">
        <v>484</v>
      </c>
      <c r="C206" s="495" t="s">
        <v>554</v>
      </c>
      <c r="D206" s="495" t="s">
        <v>555</v>
      </c>
      <c r="E206" s="496" t="s">
        <v>556</v>
      </c>
      <c r="F206" s="496" t="s">
        <v>557</v>
      </c>
      <c r="G206" s="496" t="s">
        <v>558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42.0" customHeight="1">
      <c r="A207" s="497" t="s">
        <v>559</v>
      </c>
      <c r="B207" s="465"/>
      <c r="C207" s="498" t="s">
        <v>554</v>
      </c>
      <c r="D207" s="498" t="s">
        <v>560</v>
      </c>
      <c r="E207" s="498" t="s">
        <v>556</v>
      </c>
      <c r="F207" s="498" t="s">
        <v>557</v>
      </c>
      <c r="G207" s="499" t="s">
        <v>558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5.75" customHeight="1">
      <c r="A208" s="500" t="s">
        <v>561</v>
      </c>
      <c r="B208" s="465"/>
      <c r="C208" s="501" t="s">
        <v>562</v>
      </c>
      <c r="D208" s="502" t="s">
        <v>563</v>
      </c>
      <c r="E208" s="501" t="s">
        <v>564</v>
      </c>
      <c r="F208" s="503" t="s">
        <v>565</v>
      </c>
      <c r="G208" s="504" t="s">
        <v>566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5.75" customHeight="1">
      <c r="A209" s="47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5.75" customHeight="1">
      <c r="A211" s="477" t="s">
        <v>567</v>
      </c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5.75" customHeight="1">
      <c r="A212" s="478" t="s">
        <v>568</v>
      </c>
      <c r="B212" s="464"/>
      <c r="C212" s="465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5.75" customHeight="1">
      <c r="A213" s="505" t="s">
        <v>569</v>
      </c>
      <c r="B213" s="465"/>
      <c r="C213" s="506" t="s">
        <v>570</v>
      </c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5.75" customHeight="1">
      <c r="A214" s="478" t="s">
        <v>539</v>
      </c>
      <c r="B214" s="464"/>
      <c r="C214" s="465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5.75" customHeight="1">
      <c r="A215" s="507" t="s">
        <v>571</v>
      </c>
      <c r="B215" s="508" t="s">
        <v>572</v>
      </c>
      <c r="C215" s="509" t="s">
        <v>573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5.75" customHeight="1">
      <c r="A216" s="510" t="s">
        <v>574</v>
      </c>
      <c r="B216" s="484" t="s">
        <v>575</v>
      </c>
      <c r="C216" s="511" t="s">
        <v>576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5.75" customHeight="1">
      <c r="A217" s="510" t="s">
        <v>577</v>
      </c>
      <c r="B217" s="484" t="s">
        <v>578</v>
      </c>
      <c r="C217" s="511" t="s">
        <v>579</v>
      </c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5.75" customHeight="1">
      <c r="A218" s="510" t="s">
        <v>474</v>
      </c>
      <c r="B218" s="484" t="s">
        <v>580</v>
      </c>
      <c r="C218" s="511" t="s">
        <v>581</v>
      </c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5.75" customHeight="1">
      <c r="A219" s="512" t="s">
        <v>312</v>
      </c>
      <c r="B219" s="486" t="s">
        <v>582</v>
      </c>
      <c r="C219" s="511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5.75" customHeight="1">
      <c r="A220" s="513" t="s">
        <v>583</v>
      </c>
      <c r="B220" s="514" t="s">
        <v>584</v>
      </c>
      <c r="C220" s="515" t="s">
        <v>585</v>
      </c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5.75" customHeight="1">
      <c r="A221" s="512" t="s">
        <v>220</v>
      </c>
      <c r="B221" s="514" t="s">
        <v>586</v>
      </c>
      <c r="C221" s="514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5.75" customHeight="1">
      <c r="A222" s="516"/>
      <c r="B222" s="516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5.75" customHeight="1">
      <c r="A226" s="458" t="s">
        <v>461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5.75" customHeight="1">
      <c r="A227" s="459" t="s">
        <v>531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5.75" customHeight="1">
      <c r="A228" s="458" t="s">
        <v>587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5.75" customHeight="1">
      <c r="A229" s="458" t="s">
        <v>588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5.75" customHeight="1">
      <c r="A230" s="458" t="s">
        <v>589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5.75" customHeight="1">
      <c r="A231" s="458" t="s">
        <v>590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5.75" customHeight="1">
      <c r="A232" s="46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5.75" customHeight="1">
      <c r="A233" s="474" t="s">
        <v>591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5.75" customHeight="1">
      <c r="A234" s="46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5.75" customHeight="1">
      <c r="A235" s="474" t="s">
        <v>592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5.75" customHeight="1">
      <c r="A236" s="46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5.75" customHeight="1">
      <c r="A237" s="478" t="s">
        <v>593</v>
      </c>
      <c r="B237" s="464"/>
      <c r="C237" s="464"/>
      <c r="D237" s="464"/>
      <c r="E237" s="464"/>
      <c r="F237" s="464"/>
      <c r="G237" s="465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5.75" customHeight="1">
      <c r="A238" s="479" t="s">
        <v>526</v>
      </c>
      <c r="B238" s="480" t="s">
        <v>471</v>
      </c>
      <c r="C238" s="480" t="s">
        <v>472</v>
      </c>
      <c r="D238" s="481" t="s">
        <v>473</v>
      </c>
      <c r="E238" s="481" t="s">
        <v>474</v>
      </c>
      <c r="F238" s="481" t="s">
        <v>475</v>
      </c>
      <c r="G238" s="480" t="s">
        <v>220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5.75" customHeight="1">
      <c r="A239" s="517" t="s">
        <v>594</v>
      </c>
      <c r="B239" s="518" t="s">
        <v>595</v>
      </c>
      <c r="C239" s="484" t="s">
        <v>596</v>
      </c>
      <c r="D239" s="484" t="s">
        <v>597</v>
      </c>
      <c r="E239" s="484" t="s">
        <v>540</v>
      </c>
      <c r="F239" s="484" t="s">
        <v>598</v>
      </c>
      <c r="G239" s="484" t="s">
        <v>599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5.75" customHeight="1">
      <c r="A240" s="517" t="s">
        <v>600</v>
      </c>
      <c r="B240" s="519" t="s">
        <v>601</v>
      </c>
      <c r="C240" s="484" t="s">
        <v>602</v>
      </c>
      <c r="D240" s="484" t="s">
        <v>603</v>
      </c>
      <c r="E240" s="484" t="s">
        <v>540</v>
      </c>
      <c r="F240" s="484" t="s">
        <v>604</v>
      </c>
      <c r="G240" s="484" t="s">
        <v>605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5.75" customHeight="1">
      <c r="A241" s="517" t="s">
        <v>606</v>
      </c>
      <c r="B241" s="519" t="s">
        <v>607</v>
      </c>
      <c r="C241" s="484" t="s">
        <v>608</v>
      </c>
      <c r="D241" s="484" t="s">
        <v>603</v>
      </c>
      <c r="E241" s="518" t="s">
        <v>609</v>
      </c>
      <c r="F241" s="484" t="s">
        <v>610</v>
      </c>
      <c r="G241" s="484" t="s">
        <v>611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5.75" customHeight="1">
      <c r="A242" s="517" t="s">
        <v>612</v>
      </c>
      <c r="B242" s="519" t="s">
        <v>613</v>
      </c>
      <c r="C242" s="484" t="s">
        <v>500</v>
      </c>
      <c r="D242" s="484" t="s">
        <v>603</v>
      </c>
      <c r="E242" s="484" t="s">
        <v>540</v>
      </c>
      <c r="F242" s="484" t="s">
        <v>502</v>
      </c>
      <c r="G242" s="484" t="s">
        <v>544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5.75" customHeight="1">
      <c r="A243" s="517" t="s">
        <v>614</v>
      </c>
      <c r="B243" s="519" t="s">
        <v>615</v>
      </c>
      <c r="C243" s="484" t="s">
        <v>616</v>
      </c>
      <c r="D243" s="484" t="s">
        <v>603</v>
      </c>
      <c r="E243" s="484" t="s">
        <v>540</v>
      </c>
      <c r="F243" s="484" t="s">
        <v>617</v>
      </c>
      <c r="G243" s="484" t="s">
        <v>618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5.75" customHeight="1">
      <c r="A244" s="517" t="s">
        <v>619</v>
      </c>
      <c r="B244" s="519" t="s">
        <v>620</v>
      </c>
      <c r="C244" s="484" t="s">
        <v>616</v>
      </c>
      <c r="D244" s="484" t="s">
        <v>603</v>
      </c>
      <c r="E244" s="484" t="s">
        <v>540</v>
      </c>
      <c r="F244" s="484" t="s">
        <v>617</v>
      </c>
      <c r="G244" s="484" t="s">
        <v>618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517" t="s">
        <v>621</v>
      </c>
      <c r="B245" s="519" t="s">
        <v>622</v>
      </c>
      <c r="C245" s="484" t="s">
        <v>623</v>
      </c>
      <c r="D245" s="484" t="s">
        <v>603</v>
      </c>
      <c r="E245" s="484" t="s">
        <v>540</v>
      </c>
      <c r="F245" s="484" t="s">
        <v>598</v>
      </c>
      <c r="G245" s="484" t="s">
        <v>624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520" t="s">
        <v>625</v>
      </c>
      <c r="B246" s="521" t="s">
        <v>626</v>
      </c>
      <c r="C246" s="522" t="s">
        <v>623</v>
      </c>
      <c r="D246" s="522" t="s">
        <v>603</v>
      </c>
      <c r="E246" s="523" t="s">
        <v>627</v>
      </c>
      <c r="F246" s="522" t="s">
        <v>598</v>
      </c>
      <c r="G246" s="522" t="s">
        <v>628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517" t="s">
        <v>629</v>
      </c>
      <c r="B247" s="519" t="s">
        <v>630</v>
      </c>
      <c r="C247" s="484" t="s">
        <v>602</v>
      </c>
      <c r="D247" s="484" t="s">
        <v>603</v>
      </c>
      <c r="E247" s="484" t="s">
        <v>540</v>
      </c>
      <c r="F247" s="484" t="s">
        <v>604</v>
      </c>
      <c r="G247" s="484" t="s">
        <v>605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517" t="s">
        <v>631</v>
      </c>
      <c r="B248" s="519" t="s">
        <v>632</v>
      </c>
      <c r="C248" s="484" t="s">
        <v>602</v>
      </c>
      <c r="D248" s="484" t="s">
        <v>603</v>
      </c>
      <c r="E248" s="484" t="s">
        <v>540</v>
      </c>
      <c r="F248" s="484" t="s">
        <v>604</v>
      </c>
      <c r="G248" s="484" t="s">
        <v>605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517" t="s">
        <v>633</v>
      </c>
      <c r="B249" s="519" t="s">
        <v>634</v>
      </c>
      <c r="C249" s="484" t="s">
        <v>495</v>
      </c>
      <c r="D249" s="484" t="s">
        <v>603</v>
      </c>
      <c r="E249" s="484" t="s">
        <v>540</v>
      </c>
      <c r="F249" s="484" t="s">
        <v>496</v>
      </c>
      <c r="G249" s="484" t="s">
        <v>543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517" t="s">
        <v>635</v>
      </c>
      <c r="B250" s="519" t="s">
        <v>636</v>
      </c>
      <c r="C250" s="484" t="s">
        <v>485</v>
      </c>
      <c r="D250" s="484" t="s">
        <v>603</v>
      </c>
      <c r="E250" s="484" t="s">
        <v>540</v>
      </c>
      <c r="F250" s="484" t="s">
        <v>486</v>
      </c>
      <c r="G250" s="484" t="s">
        <v>637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505" t="s">
        <v>514</v>
      </c>
      <c r="B251" s="465"/>
      <c r="C251" s="486" t="s">
        <v>638</v>
      </c>
      <c r="D251" s="486" t="s">
        <v>597</v>
      </c>
      <c r="E251" s="486" t="s">
        <v>639</v>
      </c>
      <c r="F251" s="486" t="s">
        <v>640</v>
      </c>
      <c r="G251" s="486" t="s">
        <v>641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478" t="s">
        <v>539</v>
      </c>
      <c r="B253" s="464"/>
      <c r="C253" s="464"/>
      <c r="D253" s="464"/>
      <c r="E253" s="464"/>
      <c r="F253" s="464"/>
      <c r="G253" s="465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479" t="s">
        <v>526</v>
      </c>
      <c r="B254" s="480" t="s">
        <v>471</v>
      </c>
      <c r="C254" s="480" t="s">
        <v>472</v>
      </c>
      <c r="D254" s="481" t="s">
        <v>473</v>
      </c>
      <c r="E254" s="481" t="s">
        <v>474</v>
      </c>
      <c r="F254" s="481" t="s">
        <v>475</v>
      </c>
      <c r="G254" s="480" t="s">
        <v>220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517" t="s">
        <v>594</v>
      </c>
      <c r="B255" s="518" t="s">
        <v>595</v>
      </c>
      <c r="C255" s="484" t="s">
        <v>596</v>
      </c>
      <c r="D255" s="484" t="s">
        <v>603</v>
      </c>
      <c r="E255" s="484" t="s">
        <v>540</v>
      </c>
      <c r="F255" s="484" t="s">
        <v>598</v>
      </c>
      <c r="G255" s="484" t="s">
        <v>642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517" t="s">
        <v>600</v>
      </c>
      <c r="B256" s="519" t="s">
        <v>601</v>
      </c>
      <c r="C256" s="484" t="s">
        <v>602</v>
      </c>
      <c r="D256" s="484" t="s">
        <v>603</v>
      </c>
      <c r="E256" s="484" t="s">
        <v>540</v>
      </c>
      <c r="F256" s="484" t="s">
        <v>604</v>
      </c>
      <c r="G256" s="484" t="s">
        <v>605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517" t="s">
        <v>606</v>
      </c>
      <c r="B257" s="519" t="s">
        <v>607</v>
      </c>
      <c r="C257" s="484" t="s">
        <v>608</v>
      </c>
      <c r="D257" s="484" t="s">
        <v>603</v>
      </c>
      <c r="E257" s="484" t="s">
        <v>643</v>
      </c>
      <c r="F257" s="484" t="s">
        <v>610</v>
      </c>
      <c r="G257" s="484" t="s">
        <v>644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517" t="s">
        <v>612</v>
      </c>
      <c r="B258" s="519" t="s">
        <v>613</v>
      </c>
      <c r="C258" s="484" t="s">
        <v>500</v>
      </c>
      <c r="D258" s="484" t="s">
        <v>603</v>
      </c>
      <c r="E258" s="484" t="s">
        <v>540</v>
      </c>
      <c r="F258" s="484" t="s">
        <v>502</v>
      </c>
      <c r="G258" s="484" t="s">
        <v>544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517" t="s">
        <v>614</v>
      </c>
      <c r="B259" s="519" t="s">
        <v>615</v>
      </c>
      <c r="C259" s="484" t="s">
        <v>616</v>
      </c>
      <c r="D259" s="484" t="s">
        <v>603</v>
      </c>
      <c r="E259" s="484" t="s">
        <v>540</v>
      </c>
      <c r="F259" s="484" t="s">
        <v>617</v>
      </c>
      <c r="G259" s="484" t="s">
        <v>618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517" t="s">
        <v>619</v>
      </c>
      <c r="B260" s="519" t="s">
        <v>620</v>
      </c>
      <c r="C260" s="484" t="s">
        <v>616</v>
      </c>
      <c r="D260" s="484" t="s">
        <v>603</v>
      </c>
      <c r="E260" s="484" t="s">
        <v>540</v>
      </c>
      <c r="F260" s="484" t="s">
        <v>617</v>
      </c>
      <c r="G260" s="484" t="s">
        <v>618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517" t="s">
        <v>621</v>
      </c>
      <c r="B261" s="519" t="s">
        <v>622</v>
      </c>
      <c r="C261" s="484" t="s">
        <v>623</v>
      </c>
      <c r="D261" s="484" t="s">
        <v>603</v>
      </c>
      <c r="E261" s="484" t="s">
        <v>540</v>
      </c>
      <c r="F261" s="484" t="s">
        <v>598</v>
      </c>
      <c r="G261" s="484" t="s">
        <v>624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517" t="s">
        <v>625</v>
      </c>
      <c r="B262" s="519" t="s">
        <v>626</v>
      </c>
      <c r="C262" s="484" t="s">
        <v>623</v>
      </c>
      <c r="D262" s="484" t="s">
        <v>603</v>
      </c>
      <c r="E262" s="484" t="s">
        <v>645</v>
      </c>
      <c r="F262" s="484" t="s">
        <v>598</v>
      </c>
      <c r="G262" s="484" t="s">
        <v>628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517" t="s">
        <v>629</v>
      </c>
      <c r="B263" s="519" t="s">
        <v>630</v>
      </c>
      <c r="C263" s="484" t="s">
        <v>602</v>
      </c>
      <c r="D263" s="484" t="s">
        <v>603</v>
      </c>
      <c r="E263" s="484" t="s">
        <v>540</v>
      </c>
      <c r="F263" s="484" t="s">
        <v>604</v>
      </c>
      <c r="G263" s="484" t="s">
        <v>605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517" t="s">
        <v>631</v>
      </c>
      <c r="B264" s="519" t="s">
        <v>632</v>
      </c>
      <c r="C264" s="484" t="s">
        <v>602</v>
      </c>
      <c r="D264" s="484" t="s">
        <v>603</v>
      </c>
      <c r="E264" s="484" t="s">
        <v>540</v>
      </c>
      <c r="F264" s="484" t="s">
        <v>604</v>
      </c>
      <c r="G264" s="484" t="s">
        <v>605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517" t="s">
        <v>633</v>
      </c>
      <c r="B265" s="519" t="s">
        <v>634</v>
      </c>
      <c r="C265" s="484" t="s">
        <v>495</v>
      </c>
      <c r="D265" s="484" t="s">
        <v>603</v>
      </c>
      <c r="E265" s="484" t="s">
        <v>540</v>
      </c>
      <c r="F265" s="484" t="s">
        <v>496</v>
      </c>
      <c r="G265" s="484" t="s">
        <v>543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517" t="s">
        <v>635</v>
      </c>
      <c r="B266" s="519" t="s">
        <v>636</v>
      </c>
      <c r="C266" s="484" t="s">
        <v>485</v>
      </c>
      <c r="D266" s="484" t="s">
        <v>603</v>
      </c>
      <c r="E266" s="484" t="s">
        <v>540</v>
      </c>
      <c r="F266" s="484" t="s">
        <v>486</v>
      </c>
      <c r="G266" s="484" t="s">
        <v>637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505" t="s">
        <v>514</v>
      </c>
      <c r="B267" s="465"/>
      <c r="C267" s="486" t="s">
        <v>638</v>
      </c>
      <c r="D267" s="486" t="s">
        <v>62</v>
      </c>
      <c r="E267" s="486" t="s">
        <v>646</v>
      </c>
      <c r="F267" s="486" t="s">
        <v>640</v>
      </c>
      <c r="G267" s="486" t="s">
        <v>647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474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>
      <c r="A270" s="524" t="s">
        <v>461</v>
      </c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5.75" customHeight="1">
      <c r="A271" s="459" t="s">
        <v>531</v>
      </c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5.75" customHeight="1">
      <c r="A272" s="524" t="s">
        <v>648</v>
      </c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5.75" customHeight="1">
      <c r="A273" s="524" t="s">
        <v>649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15.75" customHeight="1">
      <c r="A274" s="524" t="s">
        <v>650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15.75" customHeight="1">
      <c r="A275" s="524" t="s">
        <v>651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5.75" customHeight="1">
      <c r="A276" s="460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15.75" customHeight="1">
      <c r="A277" s="525" t="s">
        <v>591</v>
      </c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5.75" customHeight="1">
      <c r="A278" s="460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5.75" customHeight="1">
      <c r="A279" s="525" t="s">
        <v>652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5.75" customHeight="1">
      <c r="A280" s="460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5.75" customHeight="1">
      <c r="A281" s="525" t="s">
        <v>653</v>
      </c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5.75" customHeight="1">
      <c r="A282" s="460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5.75" customHeight="1">
      <c r="A283" s="478" t="s">
        <v>469</v>
      </c>
      <c r="B283" s="464"/>
      <c r="C283" s="464"/>
      <c r="D283" s="464"/>
      <c r="E283" s="464"/>
      <c r="F283" s="464"/>
      <c r="G283" s="464"/>
      <c r="H283" s="465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5.75" customHeight="1">
      <c r="A284" s="479" t="s">
        <v>526</v>
      </c>
      <c r="B284" s="480" t="s">
        <v>471</v>
      </c>
      <c r="C284" s="480" t="s">
        <v>472</v>
      </c>
      <c r="D284" s="481" t="s">
        <v>473</v>
      </c>
      <c r="E284" s="481" t="s">
        <v>474</v>
      </c>
      <c r="F284" s="481" t="s">
        <v>475</v>
      </c>
      <c r="G284" s="480" t="s">
        <v>220</v>
      </c>
      <c r="H284" s="460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5.75" customHeight="1">
      <c r="A285" s="517" t="s">
        <v>594</v>
      </c>
      <c r="B285" s="518" t="s">
        <v>595</v>
      </c>
      <c r="C285" s="484" t="s">
        <v>596</v>
      </c>
      <c r="D285" s="484" t="s">
        <v>603</v>
      </c>
      <c r="E285" s="484" t="s">
        <v>480</v>
      </c>
      <c r="F285" s="484" t="s">
        <v>598</v>
      </c>
      <c r="G285" s="484" t="s">
        <v>654</v>
      </c>
      <c r="H285" s="460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5.75" customHeight="1">
      <c r="A286" s="517" t="s">
        <v>600</v>
      </c>
      <c r="B286" s="519" t="s">
        <v>601</v>
      </c>
      <c r="C286" s="484" t="s">
        <v>602</v>
      </c>
      <c r="D286" s="484" t="s">
        <v>603</v>
      </c>
      <c r="E286" s="484" t="s">
        <v>480</v>
      </c>
      <c r="F286" s="484" t="s">
        <v>604</v>
      </c>
      <c r="G286" s="484" t="s">
        <v>655</v>
      </c>
      <c r="H286" s="460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5.75" customHeight="1">
      <c r="A287" s="517" t="s">
        <v>606</v>
      </c>
      <c r="B287" s="519" t="s">
        <v>607</v>
      </c>
      <c r="C287" s="484" t="s">
        <v>608</v>
      </c>
      <c r="D287" s="484" t="s">
        <v>603</v>
      </c>
      <c r="E287" s="484" t="s">
        <v>480</v>
      </c>
      <c r="F287" s="484" t="s">
        <v>610</v>
      </c>
      <c r="G287" s="484" t="s">
        <v>656</v>
      </c>
      <c r="H287" s="460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5.75" customHeight="1">
      <c r="A288" s="517" t="s">
        <v>612</v>
      </c>
      <c r="B288" s="519" t="s">
        <v>613</v>
      </c>
      <c r="C288" s="484" t="s">
        <v>500</v>
      </c>
      <c r="D288" s="484" t="s">
        <v>603</v>
      </c>
      <c r="E288" s="484" t="s">
        <v>480</v>
      </c>
      <c r="F288" s="484" t="s">
        <v>502</v>
      </c>
      <c r="G288" s="484" t="s">
        <v>523</v>
      </c>
      <c r="H288" s="460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5.75" customHeight="1">
      <c r="A289" s="517" t="s">
        <v>614</v>
      </c>
      <c r="B289" s="519" t="s">
        <v>615</v>
      </c>
      <c r="C289" s="484" t="s">
        <v>616</v>
      </c>
      <c r="D289" s="484" t="s">
        <v>657</v>
      </c>
      <c r="E289" s="484" t="s">
        <v>480</v>
      </c>
      <c r="F289" s="484" t="s">
        <v>617</v>
      </c>
      <c r="G289" s="484" t="s">
        <v>658</v>
      </c>
      <c r="H289" s="460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5.75" customHeight="1">
      <c r="A290" s="517" t="s">
        <v>619</v>
      </c>
      <c r="B290" s="519" t="s">
        <v>620</v>
      </c>
      <c r="C290" s="484" t="s">
        <v>616</v>
      </c>
      <c r="D290" s="484" t="s">
        <v>603</v>
      </c>
      <c r="E290" s="484" t="s">
        <v>480</v>
      </c>
      <c r="F290" s="484" t="s">
        <v>617</v>
      </c>
      <c r="G290" s="484" t="s">
        <v>659</v>
      </c>
      <c r="H290" s="460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5.75" customHeight="1">
      <c r="A291" s="517" t="s">
        <v>621</v>
      </c>
      <c r="B291" s="519" t="s">
        <v>622</v>
      </c>
      <c r="C291" s="484" t="s">
        <v>623</v>
      </c>
      <c r="D291" s="484" t="s">
        <v>603</v>
      </c>
      <c r="E291" s="484" t="s">
        <v>480</v>
      </c>
      <c r="F291" s="484" t="s">
        <v>598</v>
      </c>
      <c r="G291" s="484" t="s">
        <v>660</v>
      </c>
      <c r="H291" s="460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5.75" customHeight="1">
      <c r="A292" s="517" t="s">
        <v>625</v>
      </c>
      <c r="B292" s="519" t="s">
        <v>626</v>
      </c>
      <c r="C292" s="484" t="s">
        <v>623</v>
      </c>
      <c r="D292" s="484" t="s">
        <v>603</v>
      </c>
      <c r="E292" s="484" t="s">
        <v>480</v>
      </c>
      <c r="F292" s="484" t="s">
        <v>598</v>
      </c>
      <c r="G292" s="484" t="s">
        <v>660</v>
      </c>
      <c r="H292" s="460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5.75" customHeight="1">
      <c r="A293" s="517" t="s">
        <v>629</v>
      </c>
      <c r="B293" s="519" t="s">
        <v>630</v>
      </c>
      <c r="C293" s="484" t="s">
        <v>602</v>
      </c>
      <c r="D293" s="484" t="s">
        <v>661</v>
      </c>
      <c r="E293" s="484" t="s">
        <v>480</v>
      </c>
      <c r="F293" s="484" t="s">
        <v>604</v>
      </c>
      <c r="G293" s="484" t="s">
        <v>662</v>
      </c>
      <c r="H293" s="460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5.75" customHeight="1">
      <c r="A294" s="517" t="s">
        <v>631</v>
      </c>
      <c r="B294" s="519" t="s">
        <v>632</v>
      </c>
      <c r="C294" s="484" t="s">
        <v>602</v>
      </c>
      <c r="D294" s="484" t="s">
        <v>661</v>
      </c>
      <c r="E294" s="484" t="s">
        <v>480</v>
      </c>
      <c r="F294" s="484" t="s">
        <v>604</v>
      </c>
      <c r="G294" s="484" t="s">
        <v>662</v>
      </c>
      <c r="H294" s="460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5.75" customHeight="1">
      <c r="A295" s="517" t="s">
        <v>633</v>
      </c>
      <c r="B295" s="519" t="s">
        <v>634</v>
      </c>
      <c r="C295" s="484" t="s">
        <v>495</v>
      </c>
      <c r="D295" s="484" t="s">
        <v>663</v>
      </c>
      <c r="E295" s="484" t="s">
        <v>480</v>
      </c>
      <c r="F295" s="484" t="s">
        <v>496</v>
      </c>
      <c r="G295" s="484" t="s">
        <v>664</v>
      </c>
      <c r="H295" s="460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5.75" customHeight="1">
      <c r="A296" s="517" t="s">
        <v>635</v>
      </c>
      <c r="B296" s="519" t="s">
        <v>636</v>
      </c>
      <c r="C296" s="484" t="s">
        <v>485</v>
      </c>
      <c r="D296" s="484" t="s">
        <v>603</v>
      </c>
      <c r="E296" s="484" t="s">
        <v>480</v>
      </c>
      <c r="F296" s="484" t="s">
        <v>486</v>
      </c>
      <c r="G296" s="484" t="s">
        <v>487</v>
      </c>
      <c r="H296" s="460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5.75" customHeight="1">
      <c r="A297" s="505" t="s">
        <v>514</v>
      </c>
      <c r="B297" s="465"/>
      <c r="C297" s="486" t="s">
        <v>638</v>
      </c>
      <c r="D297" s="486" t="s">
        <v>665</v>
      </c>
      <c r="E297" s="486" t="s">
        <v>666</v>
      </c>
      <c r="F297" s="486" t="s">
        <v>640</v>
      </c>
      <c r="G297" s="486" t="s">
        <v>667</v>
      </c>
      <c r="H297" s="460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5.75" customHeight="1">
      <c r="A298" s="460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5.75" customHeight="1">
      <c r="A299" s="478" t="s">
        <v>520</v>
      </c>
      <c r="B299" s="464"/>
      <c r="C299" s="464"/>
      <c r="D299" s="464"/>
      <c r="E299" s="464"/>
      <c r="F299" s="464"/>
      <c r="G299" s="465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5.75" customHeight="1">
      <c r="A300" s="479" t="s">
        <v>526</v>
      </c>
      <c r="B300" s="480" t="s">
        <v>471</v>
      </c>
      <c r="C300" s="480" t="s">
        <v>472</v>
      </c>
      <c r="D300" s="481" t="s">
        <v>473</v>
      </c>
      <c r="E300" s="481" t="s">
        <v>474</v>
      </c>
      <c r="F300" s="481" t="s">
        <v>475</v>
      </c>
      <c r="G300" s="480" t="s">
        <v>220</v>
      </c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5.75" customHeight="1">
      <c r="A301" s="517" t="s">
        <v>594</v>
      </c>
      <c r="B301" s="518" t="s">
        <v>595</v>
      </c>
      <c r="C301" s="484" t="s">
        <v>596</v>
      </c>
      <c r="D301" s="484" t="s">
        <v>603</v>
      </c>
      <c r="E301" s="484" t="s">
        <v>480</v>
      </c>
      <c r="F301" s="484" t="s">
        <v>598</v>
      </c>
      <c r="G301" s="484" t="s">
        <v>654</v>
      </c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5.75" customHeight="1">
      <c r="A302" s="517" t="s">
        <v>600</v>
      </c>
      <c r="B302" s="519" t="s">
        <v>601</v>
      </c>
      <c r="C302" s="484" t="s">
        <v>602</v>
      </c>
      <c r="D302" s="484" t="s">
        <v>603</v>
      </c>
      <c r="E302" s="484" t="s">
        <v>480</v>
      </c>
      <c r="F302" s="484" t="s">
        <v>604</v>
      </c>
      <c r="G302" s="484" t="s">
        <v>655</v>
      </c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5.75" customHeight="1">
      <c r="A303" s="517" t="s">
        <v>606</v>
      </c>
      <c r="B303" s="519" t="s">
        <v>607</v>
      </c>
      <c r="C303" s="484" t="s">
        <v>608</v>
      </c>
      <c r="D303" s="484" t="s">
        <v>603</v>
      </c>
      <c r="E303" s="484" t="s">
        <v>480</v>
      </c>
      <c r="F303" s="484" t="s">
        <v>610</v>
      </c>
      <c r="G303" s="484" t="s">
        <v>656</v>
      </c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5.75" customHeight="1">
      <c r="A304" s="517" t="s">
        <v>612</v>
      </c>
      <c r="B304" s="519" t="s">
        <v>613</v>
      </c>
      <c r="C304" s="484" t="s">
        <v>500</v>
      </c>
      <c r="D304" s="484" t="s">
        <v>603</v>
      </c>
      <c r="E304" s="484" t="s">
        <v>480</v>
      </c>
      <c r="F304" s="484" t="s">
        <v>502</v>
      </c>
      <c r="G304" s="484" t="s">
        <v>523</v>
      </c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5.75" customHeight="1">
      <c r="A305" s="517" t="s">
        <v>614</v>
      </c>
      <c r="B305" s="519" t="s">
        <v>615</v>
      </c>
      <c r="C305" s="484" t="s">
        <v>616</v>
      </c>
      <c r="D305" s="484" t="s">
        <v>603</v>
      </c>
      <c r="E305" s="484" t="s">
        <v>480</v>
      </c>
      <c r="F305" s="484" t="s">
        <v>617</v>
      </c>
      <c r="G305" s="484" t="s">
        <v>659</v>
      </c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5.75" customHeight="1">
      <c r="A306" s="517" t="s">
        <v>619</v>
      </c>
      <c r="B306" s="519" t="s">
        <v>620</v>
      </c>
      <c r="C306" s="484" t="s">
        <v>616</v>
      </c>
      <c r="D306" s="484" t="s">
        <v>603</v>
      </c>
      <c r="E306" s="484" t="s">
        <v>480</v>
      </c>
      <c r="F306" s="484" t="s">
        <v>617</v>
      </c>
      <c r="G306" s="484" t="s">
        <v>659</v>
      </c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5.75" customHeight="1">
      <c r="A307" s="517" t="s">
        <v>621</v>
      </c>
      <c r="B307" s="519" t="s">
        <v>622</v>
      </c>
      <c r="C307" s="484" t="s">
        <v>623</v>
      </c>
      <c r="D307" s="484" t="s">
        <v>603</v>
      </c>
      <c r="E307" s="484" t="s">
        <v>480</v>
      </c>
      <c r="F307" s="484" t="s">
        <v>598</v>
      </c>
      <c r="G307" s="484" t="s">
        <v>660</v>
      </c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5.75" customHeight="1">
      <c r="A308" s="517" t="s">
        <v>625</v>
      </c>
      <c r="B308" s="519" t="s">
        <v>626</v>
      </c>
      <c r="C308" s="484" t="s">
        <v>623</v>
      </c>
      <c r="D308" s="484" t="s">
        <v>668</v>
      </c>
      <c r="E308" s="484" t="s">
        <v>480</v>
      </c>
      <c r="F308" s="484" t="s">
        <v>598</v>
      </c>
      <c r="G308" s="484" t="s">
        <v>669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5.75" customHeight="1">
      <c r="A309" s="517" t="s">
        <v>629</v>
      </c>
      <c r="B309" s="519" t="s">
        <v>630</v>
      </c>
      <c r="C309" s="484" t="s">
        <v>602</v>
      </c>
      <c r="D309" s="484" t="s">
        <v>603</v>
      </c>
      <c r="E309" s="484" t="s">
        <v>480</v>
      </c>
      <c r="F309" s="484" t="s">
        <v>604</v>
      </c>
      <c r="G309" s="484" t="s">
        <v>655</v>
      </c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5.75" customHeight="1">
      <c r="A310" s="517" t="s">
        <v>631</v>
      </c>
      <c r="B310" s="519" t="s">
        <v>632</v>
      </c>
      <c r="C310" s="484" t="s">
        <v>602</v>
      </c>
      <c r="D310" s="484" t="s">
        <v>603</v>
      </c>
      <c r="E310" s="484" t="s">
        <v>480</v>
      </c>
      <c r="F310" s="484" t="s">
        <v>604</v>
      </c>
      <c r="G310" s="484" t="s">
        <v>655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5.75" customHeight="1">
      <c r="A311" s="517" t="s">
        <v>633</v>
      </c>
      <c r="B311" s="519" t="s">
        <v>634</v>
      </c>
      <c r="C311" s="484" t="s">
        <v>495</v>
      </c>
      <c r="D311" s="484" t="s">
        <v>603</v>
      </c>
      <c r="E311" s="484" t="s">
        <v>480</v>
      </c>
      <c r="F311" s="484" t="s">
        <v>496</v>
      </c>
      <c r="G311" s="484" t="s">
        <v>497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5.75" customHeight="1">
      <c r="A312" s="517" t="s">
        <v>635</v>
      </c>
      <c r="B312" s="519" t="s">
        <v>636</v>
      </c>
      <c r="C312" s="484" t="s">
        <v>485</v>
      </c>
      <c r="D312" s="484" t="s">
        <v>603</v>
      </c>
      <c r="E312" s="484" t="s">
        <v>480</v>
      </c>
      <c r="F312" s="484" t="s">
        <v>486</v>
      </c>
      <c r="G312" s="484" t="s">
        <v>487</v>
      </c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5.75" customHeight="1">
      <c r="A313" s="505" t="s">
        <v>514</v>
      </c>
      <c r="B313" s="465"/>
      <c r="C313" s="486" t="s">
        <v>638</v>
      </c>
      <c r="D313" s="486" t="s">
        <v>668</v>
      </c>
      <c r="E313" s="486" t="s">
        <v>666</v>
      </c>
      <c r="F313" s="486" t="s">
        <v>640</v>
      </c>
      <c r="G313" s="486" t="s">
        <v>670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5.75" customHeight="1">
      <c r="A314" s="460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5.75" customHeight="1">
      <c r="A315" s="478" t="s">
        <v>525</v>
      </c>
      <c r="B315" s="464"/>
      <c r="C315" s="464"/>
      <c r="D315" s="464"/>
      <c r="E315" s="464"/>
      <c r="F315" s="464"/>
      <c r="G315" s="464"/>
      <c r="H315" s="465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5.75" customHeight="1">
      <c r="A316" s="479" t="s">
        <v>526</v>
      </c>
      <c r="B316" s="480" t="s">
        <v>471</v>
      </c>
      <c r="C316" s="480" t="s">
        <v>472</v>
      </c>
      <c r="D316" s="481" t="s">
        <v>473</v>
      </c>
      <c r="E316" s="481" t="s">
        <v>474</v>
      </c>
      <c r="F316" s="481" t="s">
        <v>475</v>
      </c>
      <c r="G316" s="480" t="s">
        <v>220</v>
      </c>
      <c r="H316" s="460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5.75" customHeight="1">
      <c r="A317" s="517" t="s">
        <v>594</v>
      </c>
      <c r="B317" s="518" t="s">
        <v>595</v>
      </c>
      <c r="C317" s="484" t="s">
        <v>596</v>
      </c>
      <c r="D317" s="484" t="s">
        <v>603</v>
      </c>
      <c r="E317" s="484" t="s">
        <v>480</v>
      </c>
      <c r="F317" s="484" t="s">
        <v>598</v>
      </c>
      <c r="G317" s="484" t="s">
        <v>654</v>
      </c>
      <c r="H317" s="460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5.75" customHeight="1">
      <c r="A318" s="517" t="s">
        <v>600</v>
      </c>
      <c r="B318" s="519" t="s">
        <v>601</v>
      </c>
      <c r="C318" s="484" t="s">
        <v>602</v>
      </c>
      <c r="D318" s="484" t="s">
        <v>603</v>
      </c>
      <c r="E318" s="484" t="s">
        <v>480</v>
      </c>
      <c r="F318" s="484" t="s">
        <v>604</v>
      </c>
      <c r="G318" s="484" t="s">
        <v>655</v>
      </c>
      <c r="H318" s="460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5.75" customHeight="1">
      <c r="A319" s="517" t="s">
        <v>606</v>
      </c>
      <c r="B319" s="519" t="s">
        <v>607</v>
      </c>
      <c r="C319" s="484" t="s">
        <v>608</v>
      </c>
      <c r="D319" s="484" t="s">
        <v>603</v>
      </c>
      <c r="E319" s="484" t="s">
        <v>480</v>
      </c>
      <c r="F319" s="484" t="s">
        <v>610</v>
      </c>
      <c r="G319" s="484" t="s">
        <v>656</v>
      </c>
      <c r="H319" s="460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5.75" customHeight="1">
      <c r="A320" s="517" t="s">
        <v>612</v>
      </c>
      <c r="B320" s="519" t="s">
        <v>613</v>
      </c>
      <c r="C320" s="484" t="s">
        <v>500</v>
      </c>
      <c r="D320" s="484" t="s">
        <v>603</v>
      </c>
      <c r="E320" s="484" t="s">
        <v>480</v>
      </c>
      <c r="F320" s="484" t="s">
        <v>502</v>
      </c>
      <c r="G320" s="484" t="s">
        <v>523</v>
      </c>
      <c r="H320" s="460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5.75" customHeight="1">
      <c r="A321" s="517" t="s">
        <v>614</v>
      </c>
      <c r="B321" s="519" t="s">
        <v>615</v>
      </c>
      <c r="C321" s="484" t="s">
        <v>616</v>
      </c>
      <c r="D321" s="484" t="s">
        <v>603</v>
      </c>
      <c r="E321" s="484" t="s">
        <v>480</v>
      </c>
      <c r="F321" s="484" t="s">
        <v>617</v>
      </c>
      <c r="G321" s="484" t="s">
        <v>659</v>
      </c>
      <c r="H321" s="460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5.75" customHeight="1">
      <c r="A322" s="517" t="s">
        <v>619</v>
      </c>
      <c r="B322" s="519" t="s">
        <v>620</v>
      </c>
      <c r="C322" s="484" t="s">
        <v>616</v>
      </c>
      <c r="D322" s="484" t="s">
        <v>603</v>
      </c>
      <c r="E322" s="484" t="s">
        <v>480</v>
      </c>
      <c r="F322" s="484" t="s">
        <v>617</v>
      </c>
      <c r="G322" s="484" t="s">
        <v>659</v>
      </c>
      <c r="H322" s="460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5.75" customHeight="1">
      <c r="A323" s="517" t="s">
        <v>621</v>
      </c>
      <c r="B323" s="519" t="s">
        <v>622</v>
      </c>
      <c r="C323" s="484" t="s">
        <v>623</v>
      </c>
      <c r="D323" s="484" t="s">
        <v>603</v>
      </c>
      <c r="E323" s="484" t="s">
        <v>480</v>
      </c>
      <c r="F323" s="484" t="s">
        <v>598</v>
      </c>
      <c r="G323" s="484" t="s">
        <v>660</v>
      </c>
      <c r="H323" s="460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5.75" customHeight="1">
      <c r="A324" s="517" t="s">
        <v>625</v>
      </c>
      <c r="B324" s="519" t="s">
        <v>626</v>
      </c>
      <c r="C324" s="484" t="s">
        <v>623</v>
      </c>
      <c r="D324" s="484" t="s">
        <v>603</v>
      </c>
      <c r="E324" s="484" t="s">
        <v>480</v>
      </c>
      <c r="F324" s="484" t="s">
        <v>598</v>
      </c>
      <c r="G324" s="484" t="s">
        <v>660</v>
      </c>
      <c r="H324" s="460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5.75" customHeight="1">
      <c r="A325" s="517" t="s">
        <v>629</v>
      </c>
      <c r="B325" s="519" t="s">
        <v>630</v>
      </c>
      <c r="C325" s="484" t="s">
        <v>602</v>
      </c>
      <c r="D325" s="484" t="s">
        <v>603</v>
      </c>
      <c r="E325" s="484" t="s">
        <v>480</v>
      </c>
      <c r="F325" s="484" t="s">
        <v>604</v>
      </c>
      <c r="G325" s="484" t="s">
        <v>655</v>
      </c>
      <c r="H325" s="460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5.75" customHeight="1">
      <c r="A326" s="517" t="s">
        <v>631</v>
      </c>
      <c r="B326" s="519" t="s">
        <v>632</v>
      </c>
      <c r="C326" s="484" t="s">
        <v>602</v>
      </c>
      <c r="D326" s="484" t="s">
        <v>603</v>
      </c>
      <c r="E326" s="484" t="s">
        <v>480</v>
      </c>
      <c r="F326" s="484" t="s">
        <v>604</v>
      </c>
      <c r="G326" s="484" t="s">
        <v>655</v>
      </c>
      <c r="H326" s="460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5.75" customHeight="1">
      <c r="A327" s="517" t="s">
        <v>633</v>
      </c>
      <c r="B327" s="519" t="s">
        <v>634</v>
      </c>
      <c r="C327" s="484" t="s">
        <v>495</v>
      </c>
      <c r="D327" s="484" t="s">
        <v>603</v>
      </c>
      <c r="E327" s="484" t="s">
        <v>480</v>
      </c>
      <c r="F327" s="484" t="s">
        <v>496</v>
      </c>
      <c r="G327" s="484" t="s">
        <v>497</v>
      </c>
      <c r="H327" s="460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5.75" customHeight="1">
      <c r="A328" s="517" t="s">
        <v>635</v>
      </c>
      <c r="B328" s="519" t="s">
        <v>636</v>
      </c>
      <c r="C328" s="484" t="s">
        <v>485</v>
      </c>
      <c r="D328" s="484" t="s">
        <v>603</v>
      </c>
      <c r="E328" s="484" t="s">
        <v>480</v>
      </c>
      <c r="F328" s="484" t="s">
        <v>486</v>
      </c>
      <c r="G328" s="484" t="s">
        <v>487</v>
      </c>
      <c r="H328" s="460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5.75" customHeight="1">
      <c r="A329" s="505" t="s">
        <v>514</v>
      </c>
      <c r="B329" s="465"/>
      <c r="C329" s="486" t="s">
        <v>638</v>
      </c>
      <c r="D329" s="486" t="s">
        <v>62</v>
      </c>
      <c r="E329" s="486" t="s">
        <v>666</v>
      </c>
      <c r="F329" s="486" t="s">
        <v>640</v>
      </c>
      <c r="G329" s="486" t="s">
        <v>671</v>
      </c>
      <c r="H329" s="460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5.75" customHeight="1">
      <c r="A330" s="460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5.75" customHeight="1">
      <c r="A331" s="478" t="s">
        <v>593</v>
      </c>
      <c r="B331" s="464"/>
      <c r="C331" s="464"/>
      <c r="D331" s="464"/>
      <c r="E331" s="464"/>
      <c r="F331" s="464"/>
      <c r="G331" s="465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5.75" customHeight="1">
      <c r="A332" s="479" t="s">
        <v>526</v>
      </c>
      <c r="B332" s="480" t="s">
        <v>471</v>
      </c>
      <c r="C332" s="480" t="s">
        <v>472</v>
      </c>
      <c r="D332" s="481" t="s">
        <v>473</v>
      </c>
      <c r="E332" s="481" t="s">
        <v>474</v>
      </c>
      <c r="F332" s="481" t="s">
        <v>475</v>
      </c>
      <c r="G332" s="480" t="s">
        <v>220</v>
      </c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5.75" customHeight="1">
      <c r="A333" s="517" t="s">
        <v>594</v>
      </c>
      <c r="B333" s="518" t="s">
        <v>595</v>
      </c>
      <c r="C333" s="484" t="s">
        <v>596</v>
      </c>
      <c r="D333" s="484" t="s">
        <v>597</v>
      </c>
      <c r="E333" s="484" t="s">
        <v>540</v>
      </c>
      <c r="F333" s="484" t="s">
        <v>598</v>
      </c>
      <c r="G333" s="484" t="s">
        <v>599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5.75" customHeight="1">
      <c r="A334" s="517" t="s">
        <v>600</v>
      </c>
      <c r="B334" s="519" t="s">
        <v>601</v>
      </c>
      <c r="C334" s="484" t="s">
        <v>602</v>
      </c>
      <c r="D334" s="484" t="s">
        <v>603</v>
      </c>
      <c r="E334" s="484" t="s">
        <v>540</v>
      </c>
      <c r="F334" s="484" t="s">
        <v>604</v>
      </c>
      <c r="G334" s="484" t="s">
        <v>605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5.75" customHeight="1">
      <c r="A335" s="517" t="s">
        <v>606</v>
      </c>
      <c r="B335" s="519" t="s">
        <v>607</v>
      </c>
      <c r="C335" s="484" t="s">
        <v>608</v>
      </c>
      <c r="D335" s="484" t="s">
        <v>603</v>
      </c>
      <c r="E335" s="523" t="s">
        <v>627</v>
      </c>
      <c r="F335" s="484" t="s">
        <v>610</v>
      </c>
      <c r="G335" s="484" t="s">
        <v>611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5.75" customHeight="1">
      <c r="A336" s="517" t="s">
        <v>612</v>
      </c>
      <c r="B336" s="519" t="s">
        <v>613</v>
      </c>
      <c r="C336" s="484" t="s">
        <v>500</v>
      </c>
      <c r="D336" s="484" t="s">
        <v>603</v>
      </c>
      <c r="E336" s="484" t="s">
        <v>540</v>
      </c>
      <c r="F336" s="484" t="s">
        <v>502</v>
      </c>
      <c r="G336" s="484" t="s">
        <v>544</v>
      </c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5.75" customHeight="1">
      <c r="A337" s="517" t="s">
        <v>614</v>
      </c>
      <c r="B337" s="519" t="s">
        <v>615</v>
      </c>
      <c r="C337" s="484" t="s">
        <v>616</v>
      </c>
      <c r="D337" s="484" t="s">
        <v>603</v>
      </c>
      <c r="E337" s="484" t="s">
        <v>540</v>
      </c>
      <c r="F337" s="484" t="s">
        <v>617</v>
      </c>
      <c r="G337" s="484" t="s">
        <v>618</v>
      </c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5.75" customHeight="1">
      <c r="A338" s="517" t="s">
        <v>619</v>
      </c>
      <c r="B338" s="519" t="s">
        <v>620</v>
      </c>
      <c r="C338" s="484" t="s">
        <v>616</v>
      </c>
      <c r="D338" s="484" t="s">
        <v>603</v>
      </c>
      <c r="E338" s="484" t="s">
        <v>540</v>
      </c>
      <c r="F338" s="484" t="s">
        <v>617</v>
      </c>
      <c r="G338" s="484" t="s">
        <v>618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5.75" customHeight="1">
      <c r="A339" s="517" t="s">
        <v>621</v>
      </c>
      <c r="B339" s="519" t="s">
        <v>622</v>
      </c>
      <c r="C339" s="484" t="s">
        <v>623</v>
      </c>
      <c r="D339" s="484" t="s">
        <v>603</v>
      </c>
      <c r="E339" s="484" t="s">
        <v>540</v>
      </c>
      <c r="F339" s="484" t="s">
        <v>598</v>
      </c>
      <c r="G339" s="484" t="s">
        <v>624</v>
      </c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5.75" customHeight="1">
      <c r="A340" s="517" t="s">
        <v>625</v>
      </c>
      <c r="B340" s="519" t="s">
        <v>626</v>
      </c>
      <c r="C340" s="484" t="s">
        <v>623</v>
      </c>
      <c r="D340" s="484" t="s">
        <v>603</v>
      </c>
      <c r="E340" s="484" t="s">
        <v>540</v>
      </c>
      <c r="F340" s="484" t="s">
        <v>598</v>
      </c>
      <c r="G340" s="484" t="s">
        <v>624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5.75" customHeight="1">
      <c r="A341" s="517" t="s">
        <v>629</v>
      </c>
      <c r="B341" s="519" t="s">
        <v>630</v>
      </c>
      <c r="C341" s="484" t="s">
        <v>602</v>
      </c>
      <c r="D341" s="484" t="s">
        <v>603</v>
      </c>
      <c r="E341" s="484" t="s">
        <v>540</v>
      </c>
      <c r="F341" s="484" t="s">
        <v>604</v>
      </c>
      <c r="G341" s="484" t="s">
        <v>605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5.75" customHeight="1">
      <c r="A342" s="517" t="s">
        <v>631</v>
      </c>
      <c r="B342" s="519" t="s">
        <v>632</v>
      </c>
      <c r="C342" s="484" t="s">
        <v>602</v>
      </c>
      <c r="D342" s="484" t="s">
        <v>603</v>
      </c>
      <c r="E342" s="484" t="s">
        <v>540</v>
      </c>
      <c r="F342" s="484" t="s">
        <v>604</v>
      </c>
      <c r="G342" s="484" t="s">
        <v>605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5.75" customHeight="1">
      <c r="A343" s="517" t="s">
        <v>633</v>
      </c>
      <c r="B343" s="519" t="s">
        <v>634</v>
      </c>
      <c r="C343" s="484" t="s">
        <v>495</v>
      </c>
      <c r="D343" s="484" t="s">
        <v>603</v>
      </c>
      <c r="E343" s="484" t="s">
        <v>540</v>
      </c>
      <c r="F343" s="484" t="s">
        <v>496</v>
      </c>
      <c r="G343" s="484" t="s">
        <v>543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5.75" customHeight="1">
      <c r="A344" s="517" t="s">
        <v>635</v>
      </c>
      <c r="B344" s="519" t="s">
        <v>636</v>
      </c>
      <c r="C344" s="484" t="s">
        <v>485</v>
      </c>
      <c r="D344" s="484" t="s">
        <v>603</v>
      </c>
      <c r="E344" s="484" t="s">
        <v>540</v>
      </c>
      <c r="F344" s="484" t="s">
        <v>486</v>
      </c>
      <c r="G344" s="484" t="s">
        <v>637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5.75" customHeight="1">
      <c r="A345" s="505" t="s">
        <v>514</v>
      </c>
      <c r="B345" s="465"/>
      <c r="C345" s="486" t="s">
        <v>638</v>
      </c>
      <c r="D345" s="486" t="s">
        <v>597</v>
      </c>
      <c r="E345" s="486" t="s">
        <v>672</v>
      </c>
      <c r="F345" s="486" t="s">
        <v>640</v>
      </c>
      <c r="G345" s="486" t="s">
        <v>673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5.75" customHeight="1">
      <c r="A346" s="460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5.75" customHeight="1">
      <c r="A347" s="525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5.75" customHeight="1">
      <c r="A348" s="460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B1:G1"/>
    <mergeCell ref="J1:O1"/>
    <mergeCell ref="B20:G20"/>
    <mergeCell ref="A117:G117"/>
    <mergeCell ref="A126:B126"/>
    <mergeCell ref="A128:G128"/>
    <mergeCell ref="A139:G139"/>
    <mergeCell ref="A137:B137"/>
    <mergeCell ref="A148:B148"/>
    <mergeCell ref="A191:G191"/>
    <mergeCell ref="A199:B199"/>
    <mergeCell ref="A204:G204"/>
    <mergeCell ref="A207:B207"/>
    <mergeCell ref="A208:B208"/>
    <mergeCell ref="A267:B267"/>
    <mergeCell ref="A297:B297"/>
    <mergeCell ref="A313:B313"/>
    <mergeCell ref="A329:B329"/>
    <mergeCell ref="A345:B345"/>
    <mergeCell ref="A299:G299"/>
    <mergeCell ref="A315:H315"/>
    <mergeCell ref="A331:G331"/>
    <mergeCell ref="A212:C212"/>
    <mergeCell ref="A213:B213"/>
    <mergeCell ref="A214:C214"/>
    <mergeCell ref="A237:G237"/>
    <mergeCell ref="A251:B251"/>
    <mergeCell ref="A253:G253"/>
    <mergeCell ref="A283:H283"/>
  </mergeCells>
  <hyperlinks>
    <hyperlink r:id="rId1" ref="A107"/>
    <hyperlink r:id="rId2" ref="A110"/>
    <hyperlink r:id="rId3" ref="A111"/>
    <hyperlink r:id="rId4" ref="A179"/>
    <hyperlink r:id="rId5" ref="A182"/>
    <hyperlink r:id="rId6" ref="A227"/>
    <hyperlink r:id="rId7" ref="A271"/>
  </hyperlinks>
  <printOptions/>
  <pageMargins bottom="0.75" footer="0.0" header="0.0" left="0.7" right="0.7" top="0.75"/>
  <pageSetup orientation="landscape"/>
  <drawing r:id="rId8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2.29"/>
    <col customWidth="1" min="2" max="6" width="14.43"/>
  </cols>
  <sheetData>
    <row r="1" ht="15.75" customHeight="1">
      <c r="A1" s="526"/>
      <c r="B1" s="526" t="s">
        <v>674</v>
      </c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ht="15.75" customHeight="1">
      <c r="A2" s="528"/>
      <c r="B2" s="529">
        <v>43603.0</v>
      </c>
      <c r="C2" s="529">
        <v>43634.0</v>
      </c>
      <c r="D2" s="529">
        <v>43664.0</v>
      </c>
      <c r="E2" s="529">
        <v>43695.0</v>
      </c>
      <c r="F2" s="529">
        <v>43726.0</v>
      </c>
      <c r="G2" s="529">
        <v>43756.0</v>
      </c>
      <c r="H2" s="529">
        <v>43787.0</v>
      </c>
      <c r="I2" s="529">
        <v>43817.0</v>
      </c>
      <c r="J2" s="529">
        <v>43484.0</v>
      </c>
      <c r="K2" s="529">
        <v>43515.0</v>
      </c>
      <c r="L2" s="529">
        <v>43543.0</v>
      </c>
      <c r="M2" s="529">
        <v>43574.0</v>
      </c>
      <c r="N2" s="528"/>
    </row>
    <row r="3" ht="15.75" customHeight="1">
      <c r="A3" s="526" t="s">
        <v>222</v>
      </c>
      <c r="B3" s="530">
        <v>2.74770889E7</v>
      </c>
      <c r="C3" s="530">
        <v>2.765414234E7</v>
      </c>
      <c r="D3" s="530">
        <v>2.882988063E7</v>
      </c>
      <c r="E3" s="530">
        <v>2.81053202E7</v>
      </c>
      <c r="F3" s="530">
        <v>2.772662007E7</v>
      </c>
      <c r="G3" s="530">
        <v>2.764514077E7</v>
      </c>
      <c r="H3" s="530">
        <v>2.745392697E7</v>
      </c>
      <c r="I3" s="530">
        <v>5.246782483E7</v>
      </c>
      <c r="J3" s="530">
        <v>2.973327335E7</v>
      </c>
      <c r="K3" s="530">
        <v>2.973438607E7</v>
      </c>
      <c r="L3" s="530">
        <v>2.977570672E7</v>
      </c>
      <c r="M3" s="530">
        <v>2.971755109E7</v>
      </c>
      <c r="N3" s="530">
        <v>3.6632086194E8</v>
      </c>
    </row>
    <row r="4" ht="15.75" customHeight="1">
      <c r="A4" s="526" t="s">
        <v>164</v>
      </c>
      <c r="B4" s="530">
        <v>2.189673003E7</v>
      </c>
      <c r="C4" s="530">
        <v>2.210499994E7</v>
      </c>
      <c r="D4" s="530">
        <v>2.325026713E7</v>
      </c>
      <c r="E4" s="530">
        <v>2.255559315E7</v>
      </c>
      <c r="F4" s="530">
        <v>2.219217815E7</v>
      </c>
      <c r="G4" s="530">
        <v>2.215390004E7</v>
      </c>
      <c r="H4" s="530">
        <v>2.199315734E7</v>
      </c>
      <c r="I4" s="530">
        <v>4.120255992E7</v>
      </c>
      <c r="J4" s="530">
        <v>2.351026353E7</v>
      </c>
      <c r="K4" s="530">
        <v>2.351925257E7</v>
      </c>
      <c r="L4" s="530">
        <v>2.353360418E7</v>
      </c>
      <c r="M4" s="530">
        <v>2.347544855E7</v>
      </c>
      <c r="N4" s="530">
        <v>2.9138795453E8</v>
      </c>
    </row>
    <row r="5" ht="15.75" customHeight="1">
      <c r="A5" s="526" t="s">
        <v>675</v>
      </c>
      <c r="B5" s="530">
        <v>4716261.3</v>
      </c>
      <c r="C5" s="530">
        <v>4742420.27</v>
      </c>
      <c r="D5" s="530">
        <v>4771960.99</v>
      </c>
      <c r="E5" s="530">
        <v>4759629.53</v>
      </c>
      <c r="F5" s="530">
        <v>4758097.75</v>
      </c>
      <c r="G5" s="530">
        <v>4763416.89</v>
      </c>
      <c r="H5" s="530">
        <v>4757614.61</v>
      </c>
      <c r="I5" s="530">
        <v>9628139.5</v>
      </c>
      <c r="J5" s="530">
        <v>5063993.81</v>
      </c>
      <c r="K5" s="530">
        <v>5067571.22</v>
      </c>
      <c r="L5" s="530">
        <v>5057587.94</v>
      </c>
      <c r="M5" s="530">
        <v>5058287.71</v>
      </c>
      <c r="N5" s="530">
        <v>6.314498152E7</v>
      </c>
    </row>
    <row r="6" ht="15.75" customHeight="1">
      <c r="A6" s="526" t="s">
        <v>676</v>
      </c>
      <c r="B6" s="530">
        <v>1.718046873E7</v>
      </c>
      <c r="C6" s="530">
        <v>1.736257967E7</v>
      </c>
      <c r="D6" s="530">
        <v>1.847830614E7</v>
      </c>
      <c r="E6" s="530">
        <v>1.779596362E7</v>
      </c>
      <c r="F6" s="530">
        <v>1.74340804E7</v>
      </c>
      <c r="G6" s="530">
        <v>1.739048315E7</v>
      </c>
      <c r="H6" s="530">
        <v>1.723554273E7</v>
      </c>
      <c r="I6" s="530">
        <v>3.157442042E7</v>
      </c>
      <c r="J6" s="530">
        <v>1.844626972E7</v>
      </c>
      <c r="K6" s="530">
        <v>1.845168135E7</v>
      </c>
      <c r="L6" s="530">
        <v>1.847601624E7</v>
      </c>
      <c r="M6" s="530">
        <v>1.841716084E7</v>
      </c>
      <c r="N6" s="530">
        <v>2.2824297301E8</v>
      </c>
    </row>
    <row r="7" ht="15.75" customHeight="1">
      <c r="A7" s="526" t="s">
        <v>226</v>
      </c>
      <c r="B7" s="530">
        <v>5580358.87</v>
      </c>
      <c r="C7" s="530">
        <v>5549142.4</v>
      </c>
      <c r="D7" s="530">
        <v>5579613.5</v>
      </c>
      <c r="E7" s="530">
        <v>5549727.05</v>
      </c>
      <c r="F7" s="530">
        <v>5534441.92</v>
      </c>
      <c r="G7" s="530">
        <v>5491240.73</v>
      </c>
      <c r="H7" s="530">
        <v>5460769.63</v>
      </c>
      <c r="I7" s="530">
        <v>1.126526491E7</v>
      </c>
      <c r="J7" s="530">
        <v>6223009.82</v>
      </c>
      <c r="K7" s="530">
        <v>6215133.5</v>
      </c>
      <c r="L7" s="530">
        <v>6242102.54</v>
      </c>
      <c r="M7" s="530">
        <v>6242102.54</v>
      </c>
      <c r="N7" s="530">
        <v>7.493290741E7</v>
      </c>
    </row>
    <row r="8" ht="15.75" customHeight="1">
      <c r="A8" s="526" t="s">
        <v>677</v>
      </c>
      <c r="B8" s="530">
        <v>4514296.33</v>
      </c>
      <c r="C8" s="530">
        <v>4483639.96</v>
      </c>
      <c r="D8" s="530">
        <v>4514111.06</v>
      </c>
      <c r="E8" s="530">
        <v>4484222.44</v>
      </c>
      <c r="F8" s="530">
        <v>4468937.31</v>
      </c>
      <c r="G8" s="530">
        <v>4468937.31</v>
      </c>
      <c r="H8" s="530">
        <v>4468937.31</v>
      </c>
      <c r="I8" s="530">
        <v>9262139.36</v>
      </c>
      <c r="J8" s="530">
        <v>5151508.56</v>
      </c>
      <c r="K8" s="530">
        <v>5151508.56</v>
      </c>
      <c r="L8" s="530">
        <v>5183415.82</v>
      </c>
      <c r="M8" s="530">
        <v>5183415.82</v>
      </c>
      <c r="N8" s="530">
        <v>6.133506984E7</v>
      </c>
    </row>
    <row r="9" ht="15.75" customHeight="1">
      <c r="A9" s="526" t="s">
        <v>160</v>
      </c>
      <c r="B9" s="530">
        <v>1066062.54</v>
      </c>
      <c r="C9" s="530">
        <v>1065502.44</v>
      </c>
      <c r="D9" s="530">
        <v>1065502.44</v>
      </c>
      <c r="E9" s="530">
        <v>1065504.61</v>
      </c>
      <c r="F9" s="530">
        <v>1065504.61</v>
      </c>
      <c r="G9" s="530">
        <v>1022303.42</v>
      </c>
      <c r="H9" s="530">
        <v>991832.32</v>
      </c>
      <c r="I9" s="530">
        <v>2003125.55</v>
      </c>
      <c r="J9" s="530">
        <v>1071501.26</v>
      </c>
      <c r="K9" s="530">
        <v>1063624.94</v>
      </c>
      <c r="L9" s="530">
        <v>1058686.72</v>
      </c>
      <c r="M9" s="530">
        <v>1058686.72</v>
      </c>
      <c r="N9" s="530">
        <v>1.359783757E7</v>
      </c>
    </row>
    <row r="10" ht="15.75" customHeight="1">
      <c r="A10" s="526" t="s">
        <v>231</v>
      </c>
      <c r="B10" s="530">
        <v>5580358.87</v>
      </c>
      <c r="C10" s="530">
        <v>5607144.0</v>
      </c>
      <c r="D10" s="530">
        <v>5598865.49</v>
      </c>
      <c r="E10" s="530">
        <v>5803795.71</v>
      </c>
      <c r="F10" s="530">
        <v>5534441.92</v>
      </c>
      <c r="G10" s="530">
        <v>5491240.73</v>
      </c>
      <c r="H10" s="530">
        <v>5464250.02</v>
      </c>
      <c r="I10" s="530">
        <v>1.126526491E7</v>
      </c>
      <c r="J10" s="530">
        <v>6223009.82</v>
      </c>
      <c r="K10" s="530">
        <v>6215133.5</v>
      </c>
      <c r="L10" s="530">
        <v>6242102.54</v>
      </c>
      <c r="M10" s="530">
        <v>6242102.54</v>
      </c>
      <c r="N10" s="530">
        <v>7.526771005E7</v>
      </c>
    </row>
    <row r="11" ht="15.75" customHeight="1">
      <c r="A11" s="526" t="s">
        <v>234</v>
      </c>
      <c r="B11" s="531"/>
      <c r="C11" s="530">
        <v>58001.6</v>
      </c>
      <c r="D11" s="530">
        <v>19251.99</v>
      </c>
      <c r="E11" s="530">
        <v>254068.66</v>
      </c>
      <c r="F11" s="531"/>
      <c r="G11" s="531"/>
      <c r="H11" s="530">
        <v>3480.39</v>
      </c>
      <c r="I11" s="531"/>
      <c r="J11" s="531"/>
      <c r="K11" s="531"/>
      <c r="L11" s="531"/>
      <c r="M11" s="531"/>
      <c r="N11" s="530">
        <v>334802.64</v>
      </c>
    </row>
    <row r="12" ht="15.75" customHeight="1">
      <c r="A12" s="526" t="s">
        <v>235</v>
      </c>
      <c r="B12" s="530">
        <v>5580358.87</v>
      </c>
      <c r="C12" s="530">
        <v>5549142.4</v>
      </c>
      <c r="D12" s="530">
        <v>5579613.5</v>
      </c>
      <c r="E12" s="530">
        <v>5549727.05</v>
      </c>
      <c r="F12" s="530">
        <v>5534441.92</v>
      </c>
      <c r="G12" s="530">
        <v>5491240.73</v>
      </c>
      <c r="H12" s="530">
        <v>5460769.63</v>
      </c>
      <c r="I12" s="530">
        <v>1.126526491E7</v>
      </c>
      <c r="J12" s="530">
        <v>6223009.82</v>
      </c>
      <c r="K12" s="530">
        <v>6215133.5</v>
      </c>
      <c r="L12" s="530">
        <v>6242102.54</v>
      </c>
      <c r="M12" s="530">
        <v>6242102.54</v>
      </c>
      <c r="N12" s="530">
        <v>7.493290741E7</v>
      </c>
    </row>
    <row r="13" ht="15.75" customHeight="1">
      <c r="A13" s="526"/>
      <c r="B13" s="530">
        <v>2.189673003E7</v>
      </c>
      <c r="C13" s="530">
        <v>2.204699834E7</v>
      </c>
      <c r="D13" s="530">
        <v>2.323101514E7</v>
      </c>
      <c r="E13" s="530">
        <v>2.230152449E7</v>
      </c>
      <c r="F13" s="530">
        <v>2.219217815E7</v>
      </c>
      <c r="G13" s="530">
        <v>2.215390004E7</v>
      </c>
      <c r="H13" s="530">
        <v>2.198967695E7</v>
      </c>
      <c r="I13" s="530">
        <v>4.120255992E7</v>
      </c>
      <c r="J13" s="530">
        <v>2.351026353E7</v>
      </c>
      <c r="K13" s="530">
        <v>2.351925257E7</v>
      </c>
      <c r="L13" s="530">
        <v>2.353360418E7</v>
      </c>
      <c r="M13" s="530">
        <v>2.347544855E7</v>
      </c>
      <c r="N13" s="530">
        <v>2.9105315189E8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C1"/>
  </mergeCells>
  <printOptions/>
  <pageMargins bottom="0.787401575" footer="0.0" header="0.0" left="0.511811024" right="0.511811024" top="0.7874015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0.14"/>
    <col customWidth="1" min="2" max="2" width="17.57"/>
    <col customWidth="1" min="3" max="3" width="18.14"/>
    <col customWidth="1" min="4" max="4" width="3.57"/>
    <col customWidth="1" min="5" max="5" width="17.0"/>
    <col customWidth="1" min="6" max="6" width="16.43"/>
    <col customWidth="1" min="7" max="7" width="7.71"/>
    <col customWidth="1" min="8" max="8" width="22.14"/>
    <col customWidth="1" min="9" max="9" width="18.86"/>
    <col customWidth="1" min="10" max="10" width="21.14"/>
    <col customWidth="1" min="11" max="11" width="4.43"/>
    <col customWidth="1" min="12" max="12" width="15.71"/>
  </cols>
  <sheetData>
    <row r="1" ht="15.75" customHeight="1">
      <c r="A1" s="532" t="s">
        <v>678</v>
      </c>
      <c r="B1" s="532" t="s">
        <v>679</v>
      </c>
      <c r="C1" s="126" t="s">
        <v>680</v>
      </c>
      <c r="E1" s="126" t="s">
        <v>681</v>
      </c>
      <c r="F1" s="126" t="s">
        <v>403</v>
      </c>
      <c r="H1" s="126" t="s">
        <v>678</v>
      </c>
      <c r="I1" s="126" t="s">
        <v>679</v>
      </c>
      <c r="J1" s="126" t="s">
        <v>682</v>
      </c>
      <c r="L1" s="126" t="s">
        <v>683</v>
      </c>
      <c r="M1" s="126" t="s">
        <v>403</v>
      </c>
    </row>
    <row r="2" ht="15.75" customHeight="1">
      <c r="A2" s="532" t="s">
        <v>684</v>
      </c>
      <c r="B2" s="532" t="s">
        <v>685</v>
      </c>
      <c r="C2" s="532" t="s">
        <v>686</v>
      </c>
      <c r="D2" s="532"/>
      <c r="E2" s="126" t="s">
        <v>687</v>
      </c>
      <c r="F2" s="187">
        <f t="shared" ref="F2:F4" si="1">C3+C8+C13+C18+C23+C28+C33+C38+C43+C48+C53+C58</f>
        <v>304369197.2</v>
      </c>
      <c r="H2" s="126" t="s">
        <v>684</v>
      </c>
      <c r="I2" s="126" t="s">
        <v>685</v>
      </c>
      <c r="J2" s="126" t="s">
        <v>686</v>
      </c>
      <c r="L2" s="126" t="s">
        <v>687</v>
      </c>
      <c r="M2" s="187">
        <f t="shared" ref="M2:M4" si="2">J3+J8+J13+J18+J23+J28+J33+J38+J43+J48+J53+J58</f>
        <v>293634797.8</v>
      </c>
    </row>
    <row r="3" ht="15.75" customHeight="1">
      <c r="A3" s="126">
        <v>3.0</v>
      </c>
      <c r="B3" s="126">
        <v>1.0</v>
      </c>
      <c r="C3" s="187">
        <v>2.247980856E7</v>
      </c>
      <c r="D3" s="533"/>
      <c r="E3" s="126" t="s">
        <v>688</v>
      </c>
      <c r="F3" s="187">
        <f t="shared" si="1"/>
        <v>77852092.88</v>
      </c>
      <c r="H3" s="126">
        <v>3.0</v>
      </c>
      <c r="I3" s="126">
        <v>1.0</v>
      </c>
      <c r="J3" s="187">
        <v>2.384758972E7</v>
      </c>
      <c r="L3" s="126" t="s">
        <v>688</v>
      </c>
      <c r="M3" s="187">
        <f t="shared" si="2"/>
        <v>76003819.86</v>
      </c>
    </row>
    <row r="4" ht="15.75" customHeight="1">
      <c r="B4" s="126">
        <v>3.0</v>
      </c>
      <c r="C4" s="187">
        <v>5174172.17</v>
      </c>
      <c r="D4" s="533"/>
      <c r="E4" s="126" t="s">
        <v>689</v>
      </c>
      <c r="F4" s="187">
        <f t="shared" si="1"/>
        <v>5574221.8</v>
      </c>
      <c r="I4" s="126">
        <v>3.0</v>
      </c>
      <c r="J4" s="187">
        <v>5452287.33</v>
      </c>
      <c r="L4" s="126" t="s">
        <v>689</v>
      </c>
      <c r="M4" s="187">
        <f t="shared" si="2"/>
        <v>5561367.11</v>
      </c>
    </row>
    <row r="5" ht="15.75" customHeight="1">
      <c r="A5" s="126">
        <v>4.0</v>
      </c>
      <c r="B5" s="126">
        <v>4.0</v>
      </c>
      <c r="C5" s="187">
        <v>684385.92</v>
      </c>
      <c r="D5" s="533"/>
      <c r="H5" s="126">
        <v>4.0</v>
      </c>
      <c r="I5" s="126">
        <v>4.0</v>
      </c>
      <c r="J5" s="187">
        <v>600184.37</v>
      </c>
    </row>
    <row r="6" ht="15.75" customHeight="1">
      <c r="A6" s="534" t="s">
        <v>154</v>
      </c>
      <c r="C6" s="533">
        <v>2.833836665E7</v>
      </c>
      <c r="D6" s="533"/>
      <c r="I6" s="126" t="s">
        <v>154</v>
      </c>
      <c r="J6" s="187">
        <v>2.990006142E7</v>
      </c>
    </row>
    <row r="7" ht="15.75" customHeight="1">
      <c r="C7" s="126" t="s">
        <v>690</v>
      </c>
      <c r="J7" s="126" t="s">
        <v>691</v>
      </c>
    </row>
    <row r="8" ht="15.75" customHeight="1">
      <c r="A8" s="126">
        <v>3.0</v>
      </c>
      <c r="B8" s="126">
        <v>1.0</v>
      </c>
      <c r="C8" s="187">
        <v>2.262860624E7</v>
      </c>
      <c r="H8" s="126">
        <v>3.0</v>
      </c>
      <c r="I8" s="126">
        <v>1.0</v>
      </c>
      <c r="J8" s="187">
        <v>2.149837463E7</v>
      </c>
    </row>
    <row r="9" ht="15.75" customHeight="1">
      <c r="B9" s="126">
        <v>3.0</v>
      </c>
      <c r="C9" s="187">
        <v>6063242.31</v>
      </c>
      <c r="I9" s="126">
        <v>3.0</v>
      </c>
      <c r="J9" s="187">
        <v>5241258.78</v>
      </c>
    </row>
    <row r="10" ht="15.75" customHeight="1">
      <c r="A10" s="126">
        <v>4.0</v>
      </c>
      <c r="B10" s="126">
        <v>4.0</v>
      </c>
      <c r="C10" s="187">
        <v>379629.24</v>
      </c>
      <c r="H10" s="126">
        <v>4.0</v>
      </c>
      <c r="I10" s="126">
        <v>4.0</v>
      </c>
      <c r="J10" s="187">
        <v>318760.76</v>
      </c>
    </row>
    <row r="11" ht="15.75" customHeight="1">
      <c r="A11" s="534" t="s">
        <v>154</v>
      </c>
      <c r="C11" s="533">
        <v>2.907147779E7</v>
      </c>
      <c r="H11" s="534" t="s">
        <v>154</v>
      </c>
      <c r="J11" s="533">
        <v>2.705839417E7</v>
      </c>
    </row>
    <row r="12" ht="15.75" customHeight="1">
      <c r="C12" s="126" t="s">
        <v>692</v>
      </c>
      <c r="J12" s="126" t="s">
        <v>693</v>
      </c>
    </row>
    <row r="13" ht="15.75" customHeight="1">
      <c r="A13" s="126">
        <v>3.0</v>
      </c>
      <c r="B13" s="126">
        <v>1.0</v>
      </c>
      <c r="C13" s="187">
        <v>2.435665813E7</v>
      </c>
      <c r="H13" s="126">
        <v>3.0</v>
      </c>
      <c r="I13" s="126">
        <v>1.0</v>
      </c>
      <c r="J13" s="187">
        <v>2.13821965E7</v>
      </c>
    </row>
    <row r="14" ht="15.75" customHeight="1">
      <c r="B14" s="126">
        <v>3.0</v>
      </c>
      <c r="C14" s="187">
        <v>6341479.97</v>
      </c>
      <c r="I14" s="126">
        <v>3.0</v>
      </c>
      <c r="J14" s="187">
        <v>5389076.3</v>
      </c>
    </row>
    <row r="15" ht="15.75" customHeight="1">
      <c r="A15" s="126">
        <v>4.0</v>
      </c>
      <c r="B15" s="126">
        <v>4.0</v>
      </c>
      <c r="C15" s="187">
        <v>606379.79</v>
      </c>
      <c r="H15" s="126">
        <v>4.0</v>
      </c>
      <c r="I15" s="126">
        <v>4.0</v>
      </c>
      <c r="J15" s="187">
        <v>707239.09</v>
      </c>
    </row>
    <row r="16" ht="15.75" customHeight="1">
      <c r="A16" s="534" t="s">
        <v>154</v>
      </c>
      <c r="C16" s="533">
        <v>3.130451789E7</v>
      </c>
      <c r="H16" s="534" t="s">
        <v>154</v>
      </c>
      <c r="J16" s="533">
        <v>2.747851189E7</v>
      </c>
    </row>
    <row r="17" ht="15.75" customHeight="1">
      <c r="C17" s="126" t="s">
        <v>694</v>
      </c>
      <c r="J17" s="126" t="s">
        <v>695</v>
      </c>
    </row>
    <row r="18" ht="15.75" customHeight="1">
      <c r="A18" s="126">
        <v>3.0</v>
      </c>
      <c r="B18" s="126">
        <v>1.0</v>
      </c>
      <c r="C18" s="187">
        <v>2.297324857E7</v>
      </c>
      <c r="H18" s="126">
        <v>3.0</v>
      </c>
      <c r="I18" s="126">
        <v>1.0</v>
      </c>
      <c r="J18" s="187">
        <v>2.138720823E7</v>
      </c>
    </row>
    <row r="19" ht="15.75" customHeight="1">
      <c r="B19" s="126">
        <v>3.0</v>
      </c>
      <c r="C19" s="187">
        <v>5971719.74</v>
      </c>
      <c r="I19" s="126">
        <v>3.0</v>
      </c>
      <c r="J19" s="187">
        <v>5082605.04</v>
      </c>
    </row>
    <row r="20" ht="15.75" customHeight="1">
      <c r="A20" s="126">
        <v>4.0</v>
      </c>
      <c r="B20" s="126">
        <v>4.0</v>
      </c>
      <c r="C20" s="187">
        <v>222117.44</v>
      </c>
      <c r="H20" s="126">
        <v>4.0</v>
      </c>
      <c r="I20" s="126">
        <v>4.0</v>
      </c>
      <c r="J20" s="187">
        <v>467287.48</v>
      </c>
    </row>
    <row r="21" ht="15.75" customHeight="1">
      <c r="A21" s="534" t="s">
        <v>154</v>
      </c>
      <c r="C21" s="533">
        <v>2.916708575E7</v>
      </c>
      <c r="I21" s="126" t="s">
        <v>154</v>
      </c>
      <c r="J21" s="533">
        <v>2.693710075E7</v>
      </c>
    </row>
    <row r="22" ht="15.75" customHeight="1">
      <c r="C22" s="126" t="s">
        <v>696</v>
      </c>
      <c r="I22" s="532"/>
      <c r="J22" s="532" t="s">
        <v>697</v>
      </c>
    </row>
    <row r="23" ht="15.75" customHeight="1">
      <c r="A23" s="126">
        <v>3.0</v>
      </c>
      <c r="B23" s="126">
        <v>1.0</v>
      </c>
      <c r="C23" s="187">
        <v>2.275011314E7</v>
      </c>
      <c r="H23" s="126">
        <v>3.0</v>
      </c>
      <c r="I23" s="126">
        <v>1.0</v>
      </c>
      <c r="J23" s="187">
        <v>2.247980856E7</v>
      </c>
    </row>
    <row r="24" ht="15.75" customHeight="1">
      <c r="B24" s="126">
        <v>3.0</v>
      </c>
      <c r="C24" s="187">
        <v>8344551.17</v>
      </c>
      <c r="I24" s="126">
        <v>3.0</v>
      </c>
      <c r="J24" s="187">
        <v>5174172.17</v>
      </c>
    </row>
    <row r="25" ht="15.75" customHeight="1">
      <c r="A25" s="126">
        <v>4.0</v>
      </c>
      <c r="B25" s="126">
        <v>4.0</v>
      </c>
      <c r="C25" s="187">
        <v>228720.5</v>
      </c>
      <c r="H25" s="126">
        <v>4.0</v>
      </c>
      <c r="I25" s="126">
        <v>4.0</v>
      </c>
      <c r="J25" s="187">
        <v>684385.92</v>
      </c>
    </row>
    <row r="26" ht="15.75" customHeight="1">
      <c r="A26" s="534" t="s">
        <v>154</v>
      </c>
      <c r="C26" s="533">
        <v>3.132338481E7</v>
      </c>
      <c r="H26" s="534" t="s">
        <v>154</v>
      </c>
      <c r="J26" s="533">
        <v>2.833836665E7</v>
      </c>
    </row>
    <row r="27" ht="15.75" customHeight="1">
      <c r="C27" s="126" t="s">
        <v>698</v>
      </c>
      <c r="J27" s="126" t="s">
        <v>690</v>
      </c>
    </row>
    <row r="28" ht="15.75" customHeight="1">
      <c r="A28" s="126">
        <v>3.0</v>
      </c>
      <c r="B28" s="126">
        <v>1.0</v>
      </c>
      <c r="C28" s="187">
        <v>2.259998201E7</v>
      </c>
      <c r="H28" s="126">
        <v>3.0</v>
      </c>
      <c r="I28" s="126">
        <v>1.0</v>
      </c>
      <c r="J28" s="187">
        <v>2.262860624E7</v>
      </c>
    </row>
    <row r="29" ht="15.75" customHeight="1">
      <c r="B29" s="126">
        <v>3.0</v>
      </c>
      <c r="C29" s="187">
        <v>5770629.39</v>
      </c>
      <c r="I29" s="126">
        <v>3.0</v>
      </c>
      <c r="J29" s="187">
        <v>6063242.31</v>
      </c>
    </row>
    <row r="30" ht="15.75" customHeight="1">
      <c r="A30" s="126">
        <v>4.0</v>
      </c>
      <c r="B30" s="126">
        <v>4.0</v>
      </c>
      <c r="C30" s="187">
        <v>136955.77</v>
      </c>
      <c r="H30" s="126">
        <v>4.0</v>
      </c>
      <c r="I30" s="126">
        <v>4.0</v>
      </c>
      <c r="J30" s="187">
        <v>379629.24</v>
      </c>
    </row>
    <row r="31" ht="15.75" customHeight="1">
      <c r="A31" s="534" t="s">
        <v>154</v>
      </c>
      <c r="C31" s="533">
        <v>2.850756717E7</v>
      </c>
      <c r="H31" s="534" t="s">
        <v>154</v>
      </c>
      <c r="J31" s="533">
        <v>2.907147779E7</v>
      </c>
    </row>
    <row r="32" ht="15.75" customHeight="1">
      <c r="C32" s="126" t="s">
        <v>699</v>
      </c>
      <c r="J32" s="126" t="s">
        <v>692</v>
      </c>
    </row>
    <row r="33" ht="15.75" customHeight="1">
      <c r="A33" s="126">
        <v>3.0</v>
      </c>
      <c r="B33" s="126">
        <v>1.0</v>
      </c>
      <c r="C33" s="187">
        <v>2.242578726E7</v>
      </c>
      <c r="H33" s="126">
        <v>3.0</v>
      </c>
      <c r="I33" s="126">
        <v>1.0</v>
      </c>
      <c r="J33" s="187">
        <v>2.435665813E7</v>
      </c>
    </row>
    <row r="34" ht="15.75" customHeight="1">
      <c r="B34" s="126">
        <v>3.0</v>
      </c>
      <c r="C34" s="187">
        <v>7626001.57</v>
      </c>
      <c r="I34" s="126">
        <v>3.0</v>
      </c>
      <c r="J34" s="187">
        <v>6341479.97</v>
      </c>
    </row>
    <row r="35" ht="15.75" customHeight="1">
      <c r="A35" s="126">
        <v>4.0</v>
      </c>
      <c r="B35" s="126">
        <v>4.0</v>
      </c>
      <c r="C35" s="187">
        <v>398981.75</v>
      </c>
      <c r="H35" s="126">
        <v>4.0</v>
      </c>
      <c r="I35" s="126">
        <v>4.0</v>
      </c>
      <c r="J35" s="187">
        <v>606379.79</v>
      </c>
    </row>
    <row r="36" ht="15.75" customHeight="1">
      <c r="A36" s="534" t="s">
        <v>154</v>
      </c>
      <c r="C36" s="533">
        <v>3.045077058E7</v>
      </c>
      <c r="H36" s="534" t="s">
        <v>154</v>
      </c>
      <c r="J36" s="533">
        <v>3.130451789E7</v>
      </c>
    </row>
    <row r="37" ht="15.75" customHeight="1">
      <c r="C37" s="126" t="s">
        <v>700</v>
      </c>
      <c r="J37" s="126" t="s">
        <v>694</v>
      </c>
    </row>
    <row r="38" ht="15.75" customHeight="1">
      <c r="A38" s="126">
        <v>3.0</v>
      </c>
      <c r="B38" s="126">
        <v>1.0</v>
      </c>
      <c r="C38" s="187">
        <v>4.530522481E7</v>
      </c>
      <c r="H38" s="126">
        <v>3.0</v>
      </c>
      <c r="I38" s="126">
        <v>1.0</v>
      </c>
      <c r="J38" s="187">
        <v>2.297324857E7</v>
      </c>
    </row>
    <row r="39" ht="15.75" customHeight="1">
      <c r="B39" s="126">
        <v>3.0</v>
      </c>
      <c r="C39" s="187">
        <v>9546796.09</v>
      </c>
      <c r="I39" s="126">
        <v>3.0</v>
      </c>
      <c r="J39" s="187">
        <v>5971719.74</v>
      </c>
    </row>
    <row r="40" ht="15.75" customHeight="1">
      <c r="A40" s="126">
        <v>4.0</v>
      </c>
      <c r="B40" s="126">
        <v>4.0</v>
      </c>
      <c r="C40" s="187">
        <v>810725.0</v>
      </c>
      <c r="H40" s="126">
        <v>4.0</v>
      </c>
      <c r="I40" s="126">
        <v>4.0</v>
      </c>
      <c r="J40" s="187">
        <v>222117.44</v>
      </c>
    </row>
    <row r="41" ht="15.75" customHeight="1">
      <c r="A41" s="534" t="s">
        <v>154</v>
      </c>
      <c r="C41" s="533">
        <v>5.56627459E7</v>
      </c>
      <c r="H41" s="534" t="s">
        <v>154</v>
      </c>
      <c r="J41" s="533">
        <v>2.916708575E7</v>
      </c>
    </row>
    <row r="42" ht="15.75" customHeight="1">
      <c r="C42" s="535">
        <v>43484.0</v>
      </c>
      <c r="J42" s="126" t="s">
        <v>696</v>
      </c>
    </row>
    <row r="43" ht="15.75" customHeight="1">
      <c r="A43" s="126">
        <v>3.0</v>
      </c>
      <c r="B43" s="126">
        <v>1.0</v>
      </c>
      <c r="C43" s="187">
        <v>2.670889681E7</v>
      </c>
      <c r="H43" s="126">
        <v>3.0</v>
      </c>
      <c r="I43" s="126">
        <v>1.0</v>
      </c>
      <c r="J43" s="187">
        <v>2.275011314E7</v>
      </c>
    </row>
    <row r="44" ht="15.75" customHeight="1">
      <c r="B44" s="126">
        <v>3.0</v>
      </c>
      <c r="C44" s="187">
        <v>5735802.37</v>
      </c>
      <c r="I44" s="126">
        <v>3.0</v>
      </c>
      <c r="J44" s="187">
        <v>8344551.17</v>
      </c>
    </row>
    <row r="45" ht="15.75" customHeight="1">
      <c r="A45" s="126">
        <v>4.0</v>
      </c>
      <c r="B45" s="126">
        <v>4.0</v>
      </c>
      <c r="C45" s="187">
        <v>19740.0</v>
      </c>
      <c r="H45" s="126">
        <v>4.0</v>
      </c>
      <c r="I45" s="126">
        <v>4.0</v>
      </c>
      <c r="J45" s="187">
        <v>228720.5</v>
      </c>
    </row>
    <row r="46" ht="15.75" customHeight="1">
      <c r="A46" s="534" t="s">
        <v>154</v>
      </c>
      <c r="C46" s="533">
        <v>3.246443918E7</v>
      </c>
      <c r="H46" s="534" t="s">
        <v>154</v>
      </c>
      <c r="J46" s="533">
        <v>3.132338481E7</v>
      </c>
    </row>
    <row r="47" ht="15.75" customHeight="1">
      <c r="C47" s="535">
        <v>43515.0</v>
      </c>
      <c r="J47" s="126" t="s">
        <v>698</v>
      </c>
    </row>
    <row r="48" ht="15.75" customHeight="1">
      <c r="A48" s="126">
        <v>3.0</v>
      </c>
      <c r="B48" s="126">
        <v>1.0</v>
      </c>
      <c r="C48" s="187">
        <v>2.404919413E7</v>
      </c>
      <c r="H48" s="126">
        <v>3.0</v>
      </c>
      <c r="I48" s="126">
        <v>1.0</v>
      </c>
      <c r="J48" s="187">
        <v>2.259998201E7</v>
      </c>
    </row>
    <row r="49" ht="15.75" customHeight="1">
      <c r="B49" s="126">
        <v>3.0</v>
      </c>
      <c r="C49" s="187">
        <v>5604703.8</v>
      </c>
      <c r="I49" s="126">
        <v>3.0</v>
      </c>
      <c r="J49" s="187">
        <v>5770629.39</v>
      </c>
    </row>
    <row r="50" ht="15.75" customHeight="1">
      <c r="A50" s="126">
        <v>4.0</v>
      </c>
      <c r="B50" s="126">
        <v>4.0</v>
      </c>
      <c r="C50" s="187">
        <v>112159.0</v>
      </c>
      <c r="H50" s="126">
        <v>4.0</v>
      </c>
      <c r="I50" s="126">
        <v>4.0</v>
      </c>
      <c r="J50" s="187">
        <v>136955.77</v>
      </c>
    </row>
    <row r="51" ht="15.75" customHeight="1">
      <c r="A51" s="534" t="s">
        <v>154</v>
      </c>
      <c r="C51" s="533">
        <v>2.976605693E7</v>
      </c>
      <c r="H51" s="534" t="s">
        <v>154</v>
      </c>
      <c r="J51" s="533">
        <v>2.850756717E7</v>
      </c>
    </row>
    <row r="52" ht="15.75" customHeight="1">
      <c r="C52" s="535">
        <v>43543.0</v>
      </c>
      <c r="J52" s="126" t="s">
        <v>699</v>
      </c>
    </row>
    <row r="53" ht="15.75" customHeight="1">
      <c r="A53" s="126">
        <v>3.0</v>
      </c>
      <c r="B53" s="126">
        <v>1.0</v>
      </c>
      <c r="C53" s="187">
        <v>2.408695866E7</v>
      </c>
      <c r="H53" s="126">
        <v>3.0</v>
      </c>
      <c r="I53" s="126">
        <v>1.0</v>
      </c>
      <c r="J53" s="187">
        <v>2.242578726E7</v>
      </c>
    </row>
    <row r="54" ht="15.75" customHeight="1">
      <c r="B54" s="126">
        <v>3.0</v>
      </c>
      <c r="C54" s="187">
        <v>5722513.58</v>
      </c>
      <c r="I54" s="126">
        <v>3.0</v>
      </c>
      <c r="J54" s="187">
        <v>7626001.57</v>
      </c>
    </row>
    <row r="55" ht="15.75" customHeight="1">
      <c r="A55" s="126">
        <v>4.0</v>
      </c>
      <c r="B55" s="126">
        <v>4.0</v>
      </c>
      <c r="C55" s="187">
        <v>1550360.43</v>
      </c>
      <c r="H55" s="126">
        <v>4.0</v>
      </c>
      <c r="I55" s="126">
        <v>4.0</v>
      </c>
      <c r="J55" s="187">
        <v>398981.75</v>
      </c>
    </row>
    <row r="56" ht="15.75" customHeight="1">
      <c r="A56" s="534" t="s">
        <v>154</v>
      </c>
      <c r="C56" s="533">
        <v>3.135983267E7</v>
      </c>
      <c r="H56" s="534" t="s">
        <v>154</v>
      </c>
      <c r="J56" s="533">
        <v>3.045077058E7</v>
      </c>
    </row>
    <row r="57" ht="15.75" customHeight="1">
      <c r="C57" s="535">
        <v>43574.0</v>
      </c>
      <c r="J57" s="126" t="s">
        <v>700</v>
      </c>
    </row>
    <row r="58" ht="15.75" customHeight="1">
      <c r="A58" s="126">
        <v>3.0</v>
      </c>
      <c r="B58" s="126">
        <v>1.0</v>
      </c>
      <c r="C58" s="187">
        <v>2.400471883E7</v>
      </c>
      <c r="H58" s="126">
        <v>3.0</v>
      </c>
      <c r="I58" s="126">
        <v>1.0</v>
      </c>
      <c r="J58" s="187">
        <v>4.530522481E7</v>
      </c>
    </row>
    <row r="59" ht="15.75" customHeight="1">
      <c r="B59" s="126">
        <v>3.0</v>
      </c>
      <c r="C59" s="187">
        <v>5950480.72</v>
      </c>
      <c r="I59" s="126">
        <v>3.0</v>
      </c>
      <c r="J59" s="187">
        <v>9546796.09</v>
      </c>
    </row>
    <row r="60" ht="15.75" customHeight="1">
      <c r="A60" s="126">
        <v>4.0</v>
      </c>
      <c r="B60" s="126">
        <v>4.0</v>
      </c>
      <c r="C60" s="187">
        <v>424066.96</v>
      </c>
      <c r="H60" s="126">
        <v>4.0</v>
      </c>
      <c r="I60" s="126">
        <v>4.0</v>
      </c>
      <c r="J60" s="187">
        <v>810725.0</v>
      </c>
    </row>
    <row r="61" ht="15.75" customHeight="1">
      <c r="B61" s="126" t="s">
        <v>154</v>
      </c>
      <c r="C61" s="187">
        <v>3.037926651E7</v>
      </c>
      <c r="H61" s="534" t="s">
        <v>154</v>
      </c>
      <c r="J61" s="533">
        <v>5.56627459E7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6:B6"/>
    <mergeCell ref="A11:B11"/>
    <mergeCell ref="H11:I11"/>
    <mergeCell ref="A16:B16"/>
    <mergeCell ref="H16:I16"/>
    <mergeCell ref="A21:B21"/>
    <mergeCell ref="H26:I26"/>
    <mergeCell ref="A46:B46"/>
    <mergeCell ref="H46:I46"/>
    <mergeCell ref="A51:B51"/>
    <mergeCell ref="H51:I51"/>
    <mergeCell ref="A56:B56"/>
    <mergeCell ref="H56:I56"/>
    <mergeCell ref="H61:I61"/>
    <mergeCell ref="A26:B26"/>
    <mergeCell ref="A31:B31"/>
    <mergeCell ref="H31:I31"/>
    <mergeCell ref="A36:B36"/>
    <mergeCell ref="H36:I36"/>
    <mergeCell ref="A41:B41"/>
    <mergeCell ref="H41:I41"/>
  </mergeCells>
  <printOptions/>
  <pageMargins bottom="0.787401575" footer="0.0" header="0.0" left="0.511811024" right="0.511811024" top="0.7874015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46.86"/>
    <col customWidth="1" min="3" max="3" width="14.43"/>
    <col customWidth="1" min="4" max="4" width="6.0"/>
    <col customWidth="1" min="5" max="6" width="14.43"/>
  </cols>
  <sheetData>
    <row r="1" ht="15.75" customHeight="1">
      <c r="A1" s="536"/>
      <c r="B1" s="536"/>
      <c r="C1" s="536"/>
      <c r="D1" s="536"/>
      <c r="E1" s="536"/>
      <c r="F1" s="536"/>
      <c r="G1" s="536"/>
      <c r="H1" s="536"/>
      <c r="I1" s="536"/>
    </row>
    <row r="2" ht="15.75" customHeight="1">
      <c r="A2" s="537" t="s">
        <v>701</v>
      </c>
      <c r="B2" s="537" t="s">
        <v>702</v>
      </c>
      <c r="C2" s="538" t="s">
        <v>177</v>
      </c>
      <c r="D2" s="539"/>
      <c r="E2" s="536"/>
      <c r="F2" s="536"/>
      <c r="G2" s="536"/>
      <c r="H2" s="536"/>
      <c r="I2" s="536"/>
    </row>
    <row r="3" ht="15.75" customHeight="1">
      <c r="A3" s="540">
        <v>1.0</v>
      </c>
      <c r="B3" s="541" t="s">
        <v>703</v>
      </c>
      <c r="C3" s="542">
        <v>1.118556017E7</v>
      </c>
      <c r="D3" s="536" t="s">
        <v>704</v>
      </c>
      <c r="E3" s="536"/>
      <c r="F3" s="536"/>
      <c r="G3" s="536"/>
      <c r="H3" s="536"/>
      <c r="I3" s="536"/>
    </row>
    <row r="4" ht="15.75" customHeight="1">
      <c r="A4" s="540">
        <v>2.0</v>
      </c>
      <c r="B4" s="543" t="s">
        <v>705</v>
      </c>
      <c r="C4" s="544">
        <v>801446.18</v>
      </c>
      <c r="D4" s="545" t="s">
        <v>704</v>
      </c>
      <c r="E4" s="536"/>
      <c r="F4" s="536"/>
      <c r="G4" s="536"/>
      <c r="H4" s="536"/>
      <c r="I4" s="536"/>
    </row>
    <row r="5" ht="15.75" customHeight="1">
      <c r="A5" s="540">
        <v>4.0</v>
      </c>
      <c r="B5" s="543" t="s">
        <v>706</v>
      </c>
      <c r="C5" s="544">
        <v>161132.64</v>
      </c>
      <c r="D5" s="536" t="s">
        <v>707</v>
      </c>
      <c r="E5" s="536"/>
      <c r="F5" s="536"/>
      <c r="G5" s="536"/>
      <c r="H5" s="536"/>
      <c r="I5" s="536"/>
    </row>
    <row r="6" ht="15.75" customHeight="1">
      <c r="A6" s="540">
        <v>13.0</v>
      </c>
      <c r="B6" s="543" t="s">
        <v>708</v>
      </c>
      <c r="C6" s="544">
        <v>14184.88</v>
      </c>
      <c r="D6" s="545" t="s">
        <v>704</v>
      </c>
      <c r="E6" s="536"/>
      <c r="F6" s="536"/>
      <c r="G6" s="536"/>
      <c r="H6" s="536"/>
      <c r="I6" s="536"/>
    </row>
    <row r="7" ht="15.75" customHeight="1">
      <c r="A7" s="540">
        <v>20.0</v>
      </c>
      <c r="B7" s="543" t="s">
        <v>709</v>
      </c>
      <c r="C7" s="544">
        <v>2681825.77</v>
      </c>
      <c r="D7" s="536" t="s">
        <v>707</v>
      </c>
      <c r="E7" s="536"/>
      <c r="F7" s="536"/>
      <c r="G7" s="536"/>
      <c r="H7" s="536"/>
      <c r="I7" s="536"/>
    </row>
    <row r="8" ht="15.75" customHeight="1">
      <c r="A8" s="540">
        <v>21.0</v>
      </c>
      <c r="B8" s="543" t="s">
        <v>710</v>
      </c>
      <c r="C8" s="544">
        <v>230366.66</v>
      </c>
      <c r="D8" s="536" t="s">
        <v>707</v>
      </c>
      <c r="E8" s="536"/>
      <c r="F8" s="536"/>
      <c r="G8" s="536"/>
      <c r="H8" s="536"/>
      <c r="I8" s="536"/>
    </row>
    <row r="9" ht="15.75" customHeight="1">
      <c r="A9" s="540">
        <v>22.0</v>
      </c>
      <c r="B9" s="543" t="s">
        <v>711</v>
      </c>
      <c r="C9" s="544">
        <v>12411.77</v>
      </c>
      <c r="D9" s="536" t="s">
        <v>707</v>
      </c>
      <c r="E9" s="536"/>
      <c r="F9" s="536"/>
      <c r="G9" s="536"/>
      <c r="H9" s="536"/>
      <c r="I9" s="536"/>
    </row>
    <row r="10" ht="15.75" customHeight="1">
      <c r="A10" s="540">
        <v>24.0</v>
      </c>
      <c r="B10" s="543" t="s">
        <v>712</v>
      </c>
      <c r="C10" s="544">
        <v>8865.55</v>
      </c>
      <c r="D10" s="536" t="s">
        <v>707</v>
      </c>
      <c r="E10" s="536"/>
      <c r="F10" s="536"/>
      <c r="G10" s="536"/>
      <c r="H10" s="536"/>
      <c r="I10" s="536"/>
    </row>
    <row r="11" ht="15.75" customHeight="1">
      <c r="A11" s="540">
        <v>26.0</v>
      </c>
      <c r="B11" s="543" t="s">
        <v>713</v>
      </c>
      <c r="C11" s="544">
        <v>184933.31</v>
      </c>
      <c r="D11" s="536" t="s">
        <v>704</v>
      </c>
      <c r="E11" s="536"/>
      <c r="F11" s="536"/>
      <c r="G11" s="536"/>
      <c r="H11" s="536"/>
      <c r="I11" s="536"/>
    </row>
    <row r="12" ht="15.75" customHeight="1">
      <c r="A12" s="540">
        <v>27.0</v>
      </c>
      <c r="B12" s="543" t="s">
        <v>577</v>
      </c>
      <c r="C12" s="544">
        <v>5494686.04</v>
      </c>
      <c r="D12" s="536" t="s">
        <v>704</v>
      </c>
      <c r="E12" s="536"/>
      <c r="F12" s="536"/>
      <c r="G12" s="536"/>
      <c r="H12" s="536"/>
      <c r="I12" s="536"/>
    </row>
    <row r="13" ht="15.75" customHeight="1">
      <c r="A13" s="540">
        <v>32.0</v>
      </c>
      <c r="B13" s="543" t="s">
        <v>714</v>
      </c>
      <c r="C13" s="544">
        <v>287241.23</v>
      </c>
      <c r="D13" s="536" t="s">
        <v>707</v>
      </c>
      <c r="E13" s="536"/>
      <c r="F13" s="536"/>
      <c r="G13" s="536"/>
      <c r="H13" s="536"/>
      <c r="I13" s="536"/>
    </row>
    <row r="14" ht="15.75" customHeight="1">
      <c r="A14" s="540">
        <v>33.0</v>
      </c>
      <c r="B14" s="543" t="s">
        <v>715</v>
      </c>
      <c r="C14" s="544">
        <v>121638.75</v>
      </c>
      <c r="D14" s="536" t="s">
        <v>707</v>
      </c>
      <c r="E14" s="536"/>
      <c r="F14" s="536"/>
      <c r="G14" s="536"/>
      <c r="H14" s="536"/>
      <c r="I14" s="536"/>
    </row>
    <row r="15" ht="15.75" customHeight="1">
      <c r="A15" s="540">
        <v>34.0</v>
      </c>
      <c r="B15" s="543" t="s">
        <v>716</v>
      </c>
      <c r="C15" s="544">
        <v>77279.46</v>
      </c>
      <c r="D15" s="536" t="s">
        <v>707</v>
      </c>
      <c r="E15" s="536"/>
      <c r="F15" s="536"/>
      <c r="G15" s="536"/>
      <c r="H15" s="536"/>
      <c r="I15" s="536"/>
    </row>
    <row r="16" ht="15.75" customHeight="1">
      <c r="A16" s="540">
        <v>35.0</v>
      </c>
      <c r="B16" s="543" t="s">
        <v>717</v>
      </c>
      <c r="C16" s="544">
        <v>46773.95</v>
      </c>
      <c r="D16" s="536" t="s">
        <v>707</v>
      </c>
      <c r="E16" s="536"/>
      <c r="F16" s="536"/>
      <c r="G16" s="536"/>
      <c r="H16" s="536"/>
      <c r="I16" s="536"/>
    </row>
    <row r="17" ht="15.75" customHeight="1">
      <c r="A17" s="540">
        <v>36.0</v>
      </c>
      <c r="B17" s="543" t="s">
        <v>718</v>
      </c>
      <c r="C17" s="544">
        <v>17896.11</v>
      </c>
      <c r="D17" s="536" t="s">
        <v>707</v>
      </c>
      <c r="E17" s="536"/>
      <c r="F17" s="536"/>
      <c r="G17" s="536"/>
      <c r="H17" s="536"/>
      <c r="I17" s="536"/>
    </row>
    <row r="18" ht="15.75" customHeight="1">
      <c r="A18" s="540">
        <v>37.0</v>
      </c>
      <c r="B18" s="543" t="s">
        <v>719</v>
      </c>
      <c r="C18" s="544">
        <v>31938.28</v>
      </c>
      <c r="D18" s="536" t="s">
        <v>707</v>
      </c>
      <c r="E18" s="536"/>
      <c r="F18" s="536"/>
      <c r="G18" s="536"/>
      <c r="H18" s="536"/>
      <c r="I18" s="536"/>
    </row>
    <row r="19" ht="15.75" customHeight="1">
      <c r="A19" s="540">
        <v>38.0</v>
      </c>
      <c r="B19" s="543" t="s">
        <v>720</v>
      </c>
      <c r="C19" s="544">
        <v>34518.08</v>
      </c>
      <c r="D19" s="536" t="s">
        <v>707</v>
      </c>
      <c r="E19" s="536"/>
      <c r="F19" s="536"/>
      <c r="G19" s="536"/>
      <c r="H19" s="536"/>
      <c r="I19" s="536"/>
    </row>
    <row r="20" ht="15.75" customHeight="1">
      <c r="A20" s="540">
        <v>39.0</v>
      </c>
      <c r="B20" s="543" t="s">
        <v>721</v>
      </c>
      <c r="C20" s="544">
        <v>18234.9</v>
      </c>
      <c r="D20" s="536" t="s">
        <v>707</v>
      </c>
      <c r="E20" s="536"/>
      <c r="F20" s="536"/>
      <c r="G20" s="536"/>
      <c r="H20" s="536"/>
      <c r="I20" s="536"/>
    </row>
    <row r="21" ht="15.75" customHeight="1">
      <c r="A21" s="540">
        <v>40.0</v>
      </c>
      <c r="B21" s="543" t="s">
        <v>722</v>
      </c>
      <c r="C21" s="544">
        <v>4052.0</v>
      </c>
      <c r="D21" s="536" t="s">
        <v>707</v>
      </c>
      <c r="E21" s="536"/>
      <c r="F21" s="536"/>
      <c r="G21" s="536"/>
      <c r="H21" s="536"/>
      <c r="I21" s="536"/>
    </row>
    <row r="22" ht="15.75" customHeight="1">
      <c r="A22" s="540">
        <v>41.0</v>
      </c>
      <c r="B22" s="543" t="s">
        <v>723</v>
      </c>
      <c r="C22" s="544">
        <v>18303.01</v>
      </c>
      <c r="D22" s="536" t="s">
        <v>707</v>
      </c>
      <c r="E22" s="536"/>
      <c r="F22" s="536"/>
      <c r="G22" s="536"/>
      <c r="H22" s="536"/>
      <c r="I22" s="536"/>
    </row>
    <row r="23" ht="15.75" customHeight="1">
      <c r="A23" s="540">
        <v>42.0</v>
      </c>
      <c r="B23" s="543" t="s">
        <v>724</v>
      </c>
      <c r="C23" s="544">
        <v>25809.95</v>
      </c>
      <c r="D23" s="536" t="s">
        <v>707</v>
      </c>
      <c r="E23" s="536"/>
      <c r="F23" s="536"/>
      <c r="G23" s="536"/>
      <c r="H23" s="536"/>
      <c r="I23" s="536"/>
    </row>
    <row r="24" ht="15.75" customHeight="1">
      <c r="A24" s="540">
        <v>43.0</v>
      </c>
      <c r="B24" s="543" t="s">
        <v>725</v>
      </c>
      <c r="C24" s="544">
        <v>8134.6</v>
      </c>
      <c r="D24" s="536" t="s">
        <v>707</v>
      </c>
      <c r="E24" s="536"/>
      <c r="F24" s="536"/>
      <c r="G24" s="536"/>
      <c r="H24" s="536"/>
      <c r="I24" s="536"/>
    </row>
    <row r="25" ht="15.75" customHeight="1">
      <c r="A25" s="540">
        <v>44.0</v>
      </c>
      <c r="B25" s="543" t="s">
        <v>726</v>
      </c>
      <c r="C25" s="544">
        <v>12337.59</v>
      </c>
      <c r="D25" s="536" t="s">
        <v>707</v>
      </c>
      <c r="E25" s="536"/>
      <c r="F25" s="536"/>
      <c r="G25" s="536"/>
      <c r="H25" s="536"/>
      <c r="I25" s="536"/>
    </row>
    <row r="26" ht="15.75" customHeight="1">
      <c r="A26" s="540">
        <v>52.0</v>
      </c>
      <c r="B26" s="543" t="s">
        <v>727</v>
      </c>
      <c r="C26" s="544">
        <v>182458.08</v>
      </c>
      <c r="D26" s="536" t="s">
        <v>707</v>
      </c>
      <c r="E26" s="536"/>
      <c r="F26" s="536"/>
      <c r="G26" s="536"/>
      <c r="H26" s="536"/>
      <c r="I26" s="536"/>
    </row>
    <row r="27" ht="15.75" customHeight="1">
      <c r="A27" s="540">
        <v>58.0</v>
      </c>
      <c r="B27" s="543" t="s">
        <v>728</v>
      </c>
      <c r="C27" s="544">
        <v>19677.4</v>
      </c>
      <c r="D27" s="536" t="s">
        <v>704</v>
      </c>
      <c r="E27" s="536"/>
      <c r="F27" s="536"/>
      <c r="G27" s="536"/>
      <c r="H27" s="536"/>
      <c r="I27" s="536"/>
    </row>
    <row r="28" ht="15.75" customHeight="1">
      <c r="A28" s="540">
        <v>63.0</v>
      </c>
      <c r="B28" s="543" t="s">
        <v>729</v>
      </c>
      <c r="C28" s="544">
        <v>27645.03</v>
      </c>
      <c r="D28" s="536" t="s">
        <v>707</v>
      </c>
      <c r="E28" s="536"/>
      <c r="F28" s="536"/>
      <c r="G28" s="536"/>
      <c r="H28" s="536"/>
      <c r="I28" s="536"/>
    </row>
    <row r="29" ht="15.75" customHeight="1">
      <c r="A29" s="540">
        <v>65.0</v>
      </c>
      <c r="B29" s="543" t="s">
        <v>730</v>
      </c>
      <c r="C29" s="544">
        <v>59239.8</v>
      </c>
      <c r="D29" s="536" t="s">
        <v>707</v>
      </c>
      <c r="E29" s="536"/>
      <c r="F29" s="536"/>
      <c r="G29" s="536"/>
      <c r="H29" s="536"/>
      <c r="I29" s="536"/>
    </row>
    <row r="30" ht="15.75" customHeight="1">
      <c r="A30" s="540">
        <v>67.0</v>
      </c>
      <c r="B30" s="543" t="s">
        <v>731</v>
      </c>
      <c r="C30" s="544">
        <v>248684.53</v>
      </c>
      <c r="D30" s="536" t="s">
        <v>704</v>
      </c>
      <c r="E30" s="536"/>
      <c r="F30" s="536"/>
      <c r="G30" s="536"/>
      <c r="H30" s="536"/>
      <c r="I30" s="536"/>
    </row>
    <row r="31" ht="15.75" customHeight="1">
      <c r="A31" s="540">
        <v>68.0</v>
      </c>
      <c r="B31" s="543" t="s">
        <v>732</v>
      </c>
      <c r="C31" s="544">
        <v>218699.03</v>
      </c>
      <c r="D31" s="536" t="s">
        <v>704</v>
      </c>
      <c r="E31" s="536"/>
      <c r="F31" s="536"/>
      <c r="G31" s="536"/>
      <c r="H31" s="536"/>
      <c r="I31" s="536"/>
    </row>
    <row r="32" ht="15.75" customHeight="1">
      <c r="A32" s="540">
        <v>69.0</v>
      </c>
      <c r="B32" s="543" t="s">
        <v>733</v>
      </c>
      <c r="C32" s="544">
        <v>54844.82</v>
      </c>
      <c r="D32" s="536" t="s">
        <v>704</v>
      </c>
      <c r="E32" s="536"/>
      <c r="F32" s="536"/>
      <c r="G32" s="536"/>
      <c r="H32" s="536"/>
      <c r="I32" s="536"/>
    </row>
    <row r="33" ht="15.75" customHeight="1">
      <c r="A33" s="540">
        <v>70.0</v>
      </c>
      <c r="B33" s="543" t="s">
        <v>734</v>
      </c>
      <c r="C33" s="544">
        <v>32163.95</v>
      </c>
      <c r="D33" s="536" t="s">
        <v>704</v>
      </c>
      <c r="E33" s="536"/>
      <c r="F33" s="536"/>
      <c r="G33" s="536"/>
      <c r="H33" s="536"/>
      <c r="I33" s="536"/>
    </row>
    <row r="34" ht="15.75" customHeight="1">
      <c r="A34" s="540">
        <v>71.0</v>
      </c>
      <c r="B34" s="543" t="s">
        <v>735</v>
      </c>
      <c r="C34" s="544">
        <v>7038.37</v>
      </c>
      <c r="D34" s="536" t="s">
        <v>704</v>
      </c>
      <c r="E34" s="536"/>
      <c r="F34" s="536"/>
      <c r="G34" s="536"/>
      <c r="H34" s="536"/>
      <c r="I34" s="536"/>
    </row>
    <row r="35" ht="15.75" customHeight="1">
      <c r="A35" s="540">
        <v>82.0</v>
      </c>
      <c r="B35" s="543" t="s">
        <v>736</v>
      </c>
      <c r="C35" s="544">
        <v>8865.55</v>
      </c>
      <c r="D35" s="536" t="s">
        <v>707</v>
      </c>
      <c r="E35" s="536"/>
      <c r="F35" s="536"/>
      <c r="G35" s="536"/>
      <c r="H35" s="536"/>
      <c r="I35" s="536"/>
    </row>
    <row r="36" ht="15.75" customHeight="1">
      <c r="A36" s="540">
        <v>83.0</v>
      </c>
      <c r="B36" s="543" t="s">
        <v>737</v>
      </c>
      <c r="C36" s="544">
        <v>304998.24</v>
      </c>
      <c r="D36" s="536" t="s">
        <v>707</v>
      </c>
      <c r="E36" s="536"/>
      <c r="F36" s="536"/>
      <c r="G36" s="536"/>
      <c r="H36" s="536"/>
      <c r="I36" s="536"/>
    </row>
    <row r="37" ht="15.75" customHeight="1">
      <c r="A37" s="540">
        <v>94.0</v>
      </c>
      <c r="B37" s="543" t="s">
        <v>738</v>
      </c>
      <c r="C37" s="544">
        <v>206478.43</v>
      </c>
      <c r="D37" s="536" t="s">
        <v>739</v>
      </c>
      <c r="E37" s="536"/>
      <c r="F37" s="536"/>
      <c r="G37" s="536"/>
      <c r="H37" s="536"/>
      <c r="I37" s="536"/>
    </row>
    <row r="38" ht="15.75" customHeight="1">
      <c r="A38" s="540">
        <v>98.0</v>
      </c>
      <c r="B38" s="543" t="s">
        <v>740</v>
      </c>
      <c r="C38" s="546">
        <v>271.15</v>
      </c>
      <c r="D38" s="536" t="s">
        <v>707</v>
      </c>
      <c r="E38" s="536"/>
      <c r="F38" s="536"/>
      <c r="G38" s="536"/>
      <c r="H38" s="536"/>
      <c r="I38" s="536"/>
    </row>
    <row r="39" ht="15.75" customHeight="1">
      <c r="A39" s="540">
        <v>99.0</v>
      </c>
      <c r="B39" s="543" t="s">
        <v>741</v>
      </c>
      <c r="C39" s="544">
        <v>1698.62</v>
      </c>
      <c r="D39" s="536" t="s">
        <v>739</v>
      </c>
      <c r="E39" s="536"/>
      <c r="F39" s="536"/>
      <c r="G39" s="536"/>
      <c r="H39" s="536"/>
      <c r="I39" s="536"/>
    </row>
    <row r="40" ht="15.75" customHeight="1">
      <c r="A40" s="540">
        <v>101.0</v>
      </c>
      <c r="B40" s="543" t="s">
        <v>742</v>
      </c>
      <c r="C40" s="544">
        <v>5835.1</v>
      </c>
      <c r="D40" s="536" t="s">
        <v>739</v>
      </c>
      <c r="E40" s="536"/>
      <c r="F40" s="536"/>
      <c r="G40" s="536"/>
      <c r="H40" s="536"/>
      <c r="I40" s="536"/>
    </row>
    <row r="41" ht="15.75" customHeight="1">
      <c r="A41" s="540">
        <v>102.0</v>
      </c>
      <c r="B41" s="543" t="s">
        <v>743</v>
      </c>
      <c r="C41" s="544">
        <v>111280.36</v>
      </c>
      <c r="D41" s="536" t="s">
        <v>707</v>
      </c>
      <c r="E41" s="536"/>
      <c r="F41" s="536"/>
      <c r="G41" s="536"/>
      <c r="H41" s="536"/>
      <c r="I41" s="536"/>
    </row>
    <row r="42" ht="15.75" customHeight="1">
      <c r="A42" s="540">
        <v>103.0</v>
      </c>
      <c r="B42" s="543" t="s">
        <v>744</v>
      </c>
      <c r="C42" s="544">
        <v>31915.95</v>
      </c>
      <c r="D42" s="536" t="s">
        <v>707</v>
      </c>
      <c r="E42" s="536"/>
      <c r="F42" s="536"/>
      <c r="G42" s="536"/>
      <c r="H42" s="536"/>
      <c r="I42" s="536"/>
    </row>
    <row r="43" ht="15.75" customHeight="1">
      <c r="A43" s="540">
        <v>106.0</v>
      </c>
      <c r="B43" s="543" t="s">
        <v>745</v>
      </c>
      <c r="C43" s="544">
        <v>1000.0</v>
      </c>
      <c r="D43" s="536" t="s">
        <v>707</v>
      </c>
      <c r="E43" s="536"/>
      <c r="F43" s="536"/>
      <c r="G43" s="536"/>
      <c r="H43" s="536"/>
      <c r="I43" s="536"/>
    </row>
    <row r="44" ht="15.75" customHeight="1">
      <c r="A44" s="540">
        <v>107.0</v>
      </c>
      <c r="B44" s="543" t="s">
        <v>746</v>
      </c>
      <c r="C44" s="544">
        <v>7062.56</v>
      </c>
      <c r="D44" s="536" t="s">
        <v>739</v>
      </c>
      <c r="E44" s="536"/>
      <c r="F44" s="536"/>
      <c r="G44" s="536"/>
      <c r="H44" s="536"/>
      <c r="I44" s="536"/>
    </row>
    <row r="45" ht="15.75" customHeight="1">
      <c r="A45" s="540">
        <v>108.0</v>
      </c>
      <c r="B45" s="543" t="s">
        <v>747</v>
      </c>
      <c r="C45" s="544">
        <v>116695.58</v>
      </c>
      <c r="D45" s="536" t="s">
        <v>707</v>
      </c>
      <c r="E45" s="536"/>
      <c r="F45" s="536"/>
      <c r="G45" s="536"/>
      <c r="H45" s="536"/>
      <c r="I45" s="536"/>
    </row>
    <row r="46" ht="15.75" customHeight="1">
      <c r="A46" s="540">
        <v>111.0</v>
      </c>
      <c r="B46" s="543" t="s">
        <v>748</v>
      </c>
      <c r="C46" s="544">
        <v>18956.72</v>
      </c>
      <c r="D46" s="536" t="s">
        <v>707</v>
      </c>
      <c r="E46" s="536"/>
      <c r="F46" s="536"/>
      <c r="G46" s="536"/>
      <c r="H46" s="536"/>
      <c r="I46" s="536"/>
    </row>
    <row r="47" ht="15.75" customHeight="1">
      <c r="A47" s="540">
        <v>121.0</v>
      </c>
      <c r="B47" s="543" t="s">
        <v>749</v>
      </c>
      <c r="C47" s="544">
        <v>23400.0</v>
      </c>
      <c r="D47" s="536" t="s">
        <v>704</v>
      </c>
      <c r="E47" s="536"/>
      <c r="F47" s="536"/>
      <c r="G47" s="536"/>
      <c r="H47" s="536"/>
      <c r="I47" s="536"/>
    </row>
    <row r="48" ht="15.75" customHeight="1">
      <c r="A48" s="540">
        <v>125.0</v>
      </c>
      <c r="B48" s="543" t="s">
        <v>750</v>
      </c>
      <c r="C48" s="544">
        <v>8865.55</v>
      </c>
      <c r="D48" s="536" t="s">
        <v>707</v>
      </c>
      <c r="E48" s="536"/>
      <c r="F48" s="536"/>
      <c r="G48" s="536"/>
      <c r="H48" s="536"/>
      <c r="I48" s="536"/>
    </row>
    <row r="49" ht="15.75" customHeight="1">
      <c r="A49" s="540">
        <v>126.0</v>
      </c>
      <c r="B49" s="543" t="s">
        <v>751</v>
      </c>
      <c r="C49" s="547">
        <v>8865.55</v>
      </c>
      <c r="D49" s="536" t="s">
        <v>707</v>
      </c>
      <c r="E49" s="536"/>
      <c r="F49" s="536"/>
      <c r="G49" s="536"/>
      <c r="H49" s="536"/>
      <c r="I49" s="536"/>
    </row>
    <row r="50" ht="15.75" customHeight="1">
      <c r="A50" s="541" t="s">
        <v>752</v>
      </c>
      <c r="B50" s="168"/>
      <c r="C50" s="548">
        <v>33049.72</v>
      </c>
      <c r="D50" s="549" t="s">
        <v>707</v>
      </c>
      <c r="E50" s="536"/>
      <c r="F50" s="536"/>
      <c r="G50" s="536"/>
      <c r="H50" s="536"/>
      <c r="I50" s="536"/>
    </row>
    <row r="51" ht="15.75" customHeight="1">
      <c r="A51" s="543" t="s">
        <v>753</v>
      </c>
      <c r="C51" s="548">
        <v>66099.44</v>
      </c>
      <c r="D51" s="550" t="s">
        <v>707</v>
      </c>
      <c r="E51" s="536"/>
      <c r="F51" s="536"/>
      <c r="G51" s="536"/>
      <c r="H51" s="536"/>
      <c r="I51" s="536"/>
    </row>
    <row r="52" ht="15.75" customHeight="1">
      <c r="A52" s="543" t="s">
        <v>754</v>
      </c>
      <c r="C52" s="548">
        <v>51424.72</v>
      </c>
      <c r="D52" s="550" t="s">
        <v>704</v>
      </c>
      <c r="E52" s="536"/>
      <c r="F52" s="536"/>
      <c r="G52" s="536"/>
      <c r="H52" s="536"/>
      <c r="I52" s="536"/>
    </row>
    <row r="53" ht="15.75" customHeight="1">
      <c r="A53" s="543" t="s">
        <v>755</v>
      </c>
      <c r="C53" s="548">
        <v>6022.4</v>
      </c>
      <c r="D53" s="550" t="s">
        <v>739</v>
      </c>
      <c r="E53" s="536"/>
      <c r="F53" s="536"/>
      <c r="G53" s="536"/>
      <c r="H53" s="536"/>
      <c r="I53" s="536"/>
    </row>
    <row r="54" ht="15.75" customHeight="1">
      <c r="A54" s="543" t="s">
        <v>756</v>
      </c>
      <c r="C54" s="548">
        <v>287700.51</v>
      </c>
      <c r="D54" s="550" t="s">
        <v>707</v>
      </c>
      <c r="E54" s="536"/>
      <c r="F54" s="536"/>
      <c r="G54" s="536"/>
      <c r="H54" s="536"/>
      <c r="I54" s="536"/>
    </row>
    <row r="55" ht="15.75" customHeight="1">
      <c r="A55" s="543" t="s">
        <v>757</v>
      </c>
      <c r="C55" s="548">
        <v>754200.0</v>
      </c>
      <c r="D55" s="550" t="s">
        <v>707</v>
      </c>
      <c r="E55" s="536"/>
      <c r="F55" s="536"/>
      <c r="G55" s="536"/>
      <c r="H55" s="536"/>
      <c r="I55" s="536"/>
    </row>
    <row r="56" ht="15.75" customHeight="1">
      <c r="A56" s="543" t="s">
        <v>758</v>
      </c>
      <c r="C56" s="548">
        <v>8865.55</v>
      </c>
      <c r="D56" s="550" t="s">
        <v>707</v>
      </c>
      <c r="E56" s="536"/>
      <c r="F56" s="536"/>
      <c r="G56" s="536"/>
      <c r="H56" s="536"/>
      <c r="I56" s="536"/>
    </row>
    <row r="57" ht="15.75" customHeight="1">
      <c r="A57" s="543" t="s">
        <v>759</v>
      </c>
      <c r="C57" s="548">
        <v>57757.01</v>
      </c>
      <c r="D57" s="550" t="s">
        <v>704</v>
      </c>
      <c r="E57" s="536"/>
      <c r="F57" s="536"/>
      <c r="G57" s="536"/>
      <c r="H57" s="536"/>
      <c r="I57" s="536"/>
    </row>
    <row r="58" ht="15.75" customHeight="1">
      <c r="A58" s="543" t="s">
        <v>760</v>
      </c>
      <c r="C58" s="548">
        <v>17731.1</v>
      </c>
      <c r="D58" s="550" t="s">
        <v>707</v>
      </c>
      <c r="E58" s="536"/>
      <c r="F58" s="536"/>
      <c r="G58" s="536"/>
      <c r="H58" s="536"/>
      <c r="I58" s="536"/>
    </row>
    <row r="59" ht="15.75" customHeight="1">
      <c r="A59" s="543" t="s">
        <v>761</v>
      </c>
      <c r="C59" s="548">
        <v>8422.27</v>
      </c>
      <c r="D59" s="550" t="s">
        <v>707</v>
      </c>
      <c r="E59" s="536"/>
      <c r="F59" s="536"/>
      <c r="G59" s="536"/>
      <c r="H59" s="536"/>
      <c r="I59" s="536"/>
    </row>
    <row r="60" ht="15.75" customHeight="1">
      <c r="A60" s="543" t="s">
        <v>762</v>
      </c>
      <c r="C60" s="548">
        <v>1096.94</v>
      </c>
      <c r="D60" s="550" t="s">
        <v>707</v>
      </c>
      <c r="E60" s="536"/>
      <c r="F60" s="536"/>
      <c r="G60" s="536"/>
      <c r="H60" s="536"/>
      <c r="I60" s="536"/>
    </row>
    <row r="61" ht="15.75" customHeight="1">
      <c r="A61" s="543" t="s">
        <v>763</v>
      </c>
      <c r="C61" s="548">
        <v>5530.0</v>
      </c>
      <c r="D61" s="550" t="s">
        <v>704</v>
      </c>
      <c r="E61" s="536"/>
      <c r="F61" s="536"/>
      <c r="G61" s="536"/>
      <c r="H61" s="536"/>
      <c r="I61" s="536"/>
    </row>
    <row r="62" ht="15.75" customHeight="1">
      <c r="A62" s="543" t="s">
        <v>764</v>
      </c>
      <c r="C62" s="548">
        <v>108750.78</v>
      </c>
      <c r="D62" s="550" t="s">
        <v>707</v>
      </c>
      <c r="E62" s="536"/>
      <c r="F62" s="536"/>
      <c r="G62" s="536"/>
      <c r="H62" s="536"/>
      <c r="I62" s="536"/>
    </row>
    <row r="63" ht="15.75" customHeight="1">
      <c r="A63" s="543" t="s">
        <v>765</v>
      </c>
      <c r="C63" s="548">
        <v>508000.0</v>
      </c>
      <c r="D63" s="550" t="s">
        <v>707</v>
      </c>
      <c r="E63" s="536"/>
      <c r="F63" s="536"/>
      <c r="G63" s="536"/>
      <c r="H63" s="536"/>
      <c r="I63" s="536"/>
    </row>
    <row r="64" ht="15.75" customHeight="1">
      <c r="A64" s="543" t="s">
        <v>766</v>
      </c>
      <c r="C64" s="548">
        <v>8422.27</v>
      </c>
      <c r="D64" s="550" t="s">
        <v>707</v>
      </c>
      <c r="E64" s="536"/>
      <c r="F64" s="536"/>
      <c r="G64" s="536"/>
      <c r="H64" s="536"/>
      <c r="I64" s="536"/>
    </row>
    <row r="65" ht="15.75" customHeight="1">
      <c r="A65" s="543" t="s">
        <v>767</v>
      </c>
      <c r="C65" s="548">
        <v>31278.54</v>
      </c>
      <c r="D65" s="550" t="s">
        <v>707</v>
      </c>
      <c r="E65" s="536"/>
      <c r="F65" s="536"/>
      <c r="G65" s="536"/>
      <c r="H65" s="536"/>
      <c r="I65" s="536"/>
    </row>
    <row r="66" ht="15.75" customHeight="1">
      <c r="A66" s="543" t="s">
        <v>768</v>
      </c>
      <c r="C66" s="548">
        <v>361280.2</v>
      </c>
      <c r="D66" s="550" t="s">
        <v>707</v>
      </c>
      <c r="E66" s="536"/>
      <c r="F66" s="536"/>
      <c r="G66" s="536"/>
      <c r="H66" s="536"/>
      <c r="I66" s="536"/>
    </row>
    <row r="67" ht="15.75" customHeight="1">
      <c r="A67" s="543" t="s">
        <v>769</v>
      </c>
      <c r="C67" s="551">
        <v>839.86</v>
      </c>
      <c r="D67" s="550" t="s">
        <v>707</v>
      </c>
      <c r="E67" s="536"/>
      <c r="F67" s="536"/>
      <c r="G67" s="536"/>
      <c r="H67" s="536"/>
      <c r="I67" s="536"/>
    </row>
    <row r="68" ht="15.75" customHeight="1">
      <c r="A68" s="543" t="s">
        <v>770</v>
      </c>
      <c r="C68" s="548">
        <v>357469.35</v>
      </c>
      <c r="D68" s="550" t="s">
        <v>707</v>
      </c>
      <c r="E68" s="536"/>
      <c r="F68" s="536"/>
      <c r="G68" s="536"/>
      <c r="H68" s="536"/>
      <c r="I68" s="536"/>
    </row>
    <row r="69" ht="15.75" customHeight="1">
      <c r="A69" s="543" t="s">
        <v>771</v>
      </c>
      <c r="C69" s="548">
        <v>47391.84</v>
      </c>
      <c r="D69" s="550" t="s">
        <v>707</v>
      </c>
      <c r="E69" s="536"/>
      <c r="F69" s="536"/>
      <c r="G69" s="536"/>
      <c r="H69" s="536"/>
      <c r="I69" s="536"/>
    </row>
    <row r="70" ht="15.75" customHeight="1">
      <c r="A70" s="543" t="s">
        <v>772</v>
      </c>
      <c r="C70" s="548">
        <v>80566.32</v>
      </c>
      <c r="D70" s="550" t="s">
        <v>707</v>
      </c>
      <c r="E70" s="536"/>
      <c r="F70" s="536"/>
      <c r="G70" s="536"/>
      <c r="H70" s="536"/>
      <c r="I70" s="536"/>
    </row>
    <row r="71" ht="15.75" customHeight="1">
      <c r="A71" s="543" t="s">
        <v>773</v>
      </c>
      <c r="C71" s="548">
        <v>133012.98</v>
      </c>
      <c r="D71" s="550" t="s">
        <v>707</v>
      </c>
      <c r="E71" s="536"/>
      <c r="F71" s="536"/>
      <c r="G71" s="536"/>
      <c r="H71" s="536"/>
      <c r="I71" s="536"/>
    </row>
    <row r="72" ht="15.75" customHeight="1">
      <c r="A72" s="543" t="s">
        <v>774</v>
      </c>
      <c r="C72" s="548">
        <v>53315.7</v>
      </c>
      <c r="D72" s="550" t="s">
        <v>707</v>
      </c>
      <c r="E72" s="536"/>
      <c r="F72" s="536"/>
      <c r="G72" s="536"/>
      <c r="H72" s="536"/>
      <c r="I72" s="536"/>
    </row>
    <row r="73" ht="15.75" customHeight="1">
      <c r="A73" s="543" t="s">
        <v>775</v>
      </c>
      <c r="C73" s="548">
        <v>26065.44</v>
      </c>
      <c r="D73" s="550" t="s">
        <v>707</v>
      </c>
      <c r="E73" s="536"/>
      <c r="F73" s="536"/>
      <c r="G73" s="536"/>
      <c r="H73" s="536"/>
      <c r="I73" s="536"/>
    </row>
    <row r="74" ht="15.75" customHeight="1">
      <c r="A74" s="552" t="s">
        <v>776</v>
      </c>
      <c r="B74" s="110"/>
      <c r="C74" s="553">
        <v>52130.9</v>
      </c>
      <c r="D74" s="550" t="s">
        <v>707</v>
      </c>
      <c r="E74" s="536"/>
      <c r="F74" s="536"/>
      <c r="G74" s="536"/>
      <c r="H74" s="536"/>
      <c r="I74" s="536"/>
    </row>
    <row r="75" ht="15.75" hidden="1" customHeight="1">
      <c r="A75" s="536"/>
      <c r="B75" s="536"/>
      <c r="C75" s="554">
        <v>2.625263509E7</v>
      </c>
      <c r="D75" s="536"/>
      <c r="E75" s="536"/>
      <c r="F75" s="536"/>
      <c r="G75" s="536"/>
      <c r="H75" s="536"/>
      <c r="I75" s="536"/>
    </row>
    <row r="76" ht="15.75" hidden="1" customHeight="1">
      <c r="A76" s="536"/>
      <c r="B76" s="536"/>
      <c r="C76" s="536"/>
      <c r="D76" s="536"/>
      <c r="E76" s="536"/>
      <c r="F76" s="536"/>
      <c r="G76" s="536"/>
      <c r="H76" s="536"/>
      <c r="I76" s="536"/>
    </row>
    <row r="77" ht="15.75" customHeight="1">
      <c r="A77" s="536"/>
      <c r="B77" s="536"/>
      <c r="C77" s="536"/>
      <c r="D77" s="536"/>
      <c r="E77" s="536"/>
      <c r="F77" s="536"/>
      <c r="G77" s="536"/>
      <c r="H77" s="536"/>
      <c r="I77" s="536"/>
    </row>
    <row r="78" ht="15.75" customHeight="1">
      <c r="A78" s="536"/>
      <c r="B78" s="536"/>
      <c r="C78" s="536"/>
      <c r="D78" s="536"/>
      <c r="E78" s="536"/>
      <c r="F78" s="536"/>
      <c r="G78" s="536"/>
      <c r="H78" s="536"/>
      <c r="I78" s="536"/>
    </row>
    <row r="79" ht="15.75" customHeight="1">
      <c r="A79" s="536"/>
      <c r="B79" s="536"/>
      <c r="H79" s="536"/>
      <c r="I79" s="536"/>
    </row>
    <row r="80" ht="15.75" customHeight="1">
      <c r="A80" s="536"/>
      <c r="B80" s="536"/>
      <c r="H80" s="536"/>
      <c r="I80" s="536"/>
    </row>
    <row r="81" ht="15.75" customHeight="1"/>
    <row r="82" ht="15.75" customHeight="1"/>
    <row r="83" ht="15.75" customHeight="1"/>
    <row r="84" ht="15.75" customHeight="1"/>
    <row r="85" ht="15.75" customHeight="1">
      <c r="C85" s="555">
        <v>1.890803041E7</v>
      </c>
      <c r="D85" s="536"/>
      <c r="E85" s="536"/>
      <c r="F85" s="536"/>
      <c r="G85" s="554">
        <v>1.840003041E7</v>
      </c>
    </row>
    <row r="86" ht="15.75" customHeight="1">
      <c r="C86" s="555">
        <v>-1.844626972E7</v>
      </c>
      <c r="D86" s="536"/>
      <c r="E86" s="536"/>
      <c r="F86" s="536"/>
      <c r="G86" s="554">
        <v>-1.844626972E7</v>
      </c>
    </row>
    <row r="87" ht="15.75" customHeight="1">
      <c r="C87" s="555">
        <v>461760.69</v>
      </c>
      <c r="D87" s="536"/>
      <c r="E87" s="536"/>
      <c r="F87" s="536"/>
      <c r="G87" s="554">
        <v>-46239.31</v>
      </c>
    </row>
    <row r="88" ht="15.75" customHeight="1">
      <c r="C88" s="536"/>
      <c r="D88" s="536"/>
      <c r="E88" s="536"/>
      <c r="F88" s="536"/>
      <c r="G88" s="554">
        <v>-561430.7</v>
      </c>
    </row>
    <row r="89" ht="15.75" customHeight="1">
      <c r="C89" s="554">
        <v>561430.7</v>
      </c>
      <c r="D89" s="536"/>
      <c r="E89" s="536" t="s">
        <v>777</v>
      </c>
      <c r="G89" s="536"/>
    </row>
    <row r="90" ht="15.75" customHeight="1">
      <c r="C90" s="536"/>
      <c r="D90" s="536"/>
      <c r="E90" s="536"/>
      <c r="F90" s="536"/>
      <c r="G90" s="536"/>
    </row>
    <row r="91" ht="15.75" customHeight="1">
      <c r="C91" s="554">
        <v>99670.01</v>
      </c>
      <c r="D91" s="536"/>
      <c r="E91" s="536"/>
      <c r="F91" s="536"/>
      <c r="G91" s="536"/>
    </row>
    <row r="92" ht="15.75" customHeight="1">
      <c r="C92" s="536"/>
      <c r="D92" s="536"/>
      <c r="E92" s="536"/>
      <c r="F92" s="536"/>
      <c r="G92" s="536"/>
    </row>
    <row r="93" ht="15.75" customHeight="1">
      <c r="C93" s="536"/>
      <c r="D93" s="536"/>
      <c r="E93" s="536"/>
      <c r="F93" s="536"/>
      <c r="G93" s="536"/>
    </row>
    <row r="94" ht="15.75" customHeight="1">
      <c r="C94" s="536"/>
      <c r="D94" s="536"/>
      <c r="E94" s="536"/>
      <c r="F94" s="536"/>
      <c r="G94" s="554">
        <v>561430.7</v>
      </c>
    </row>
    <row r="95" ht="15.75" customHeight="1">
      <c r="C95" s="536"/>
      <c r="D95" s="536"/>
      <c r="E95" s="536"/>
      <c r="F95" s="536"/>
      <c r="G95" s="554">
        <v>-57757.01</v>
      </c>
    </row>
    <row r="96" ht="15.75" customHeight="1">
      <c r="A96" s="556">
        <v>1.0</v>
      </c>
      <c r="B96" s="557" t="s">
        <v>703</v>
      </c>
      <c r="C96" s="558">
        <v>1.118556017E7</v>
      </c>
      <c r="D96" s="559" t="s">
        <v>704</v>
      </c>
    </row>
    <row r="97" ht="15.75" customHeight="1">
      <c r="A97" s="556">
        <v>2.0</v>
      </c>
      <c r="B97" s="557" t="s">
        <v>705</v>
      </c>
      <c r="C97" s="558">
        <v>801446.18</v>
      </c>
      <c r="D97" s="560" t="s">
        <v>704</v>
      </c>
    </row>
    <row r="98" ht="15.75" customHeight="1">
      <c r="A98" s="556">
        <v>13.0</v>
      </c>
      <c r="B98" s="557" t="s">
        <v>708</v>
      </c>
      <c r="C98" s="558">
        <v>14184.88</v>
      </c>
      <c r="D98" s="560" t="s">
        <v>704</v>
      </c>
    </row>
    <row r="99" ht="15.75" customHeight="1">
      <c r="A99" s="556">
        <v>26.0</v>
      </c>
      <c r="B99" s="557" t="s">
        <v>713</v>
      </c>
      <c r="C99" s="558">
        <v>184933.31</v>
      </c>
      <c r="D99" s="559" t="s">
        <v>704</v>
      </c>
    </row>
    <row r="100" ht="15.75" customHeight="1">
      <c r="A100" s="556">
        <v>27.0</v>
      </c>
      <c r="B100" s="557" t="s">
        <v>577</v>
      </c>
      <c r="C100" s="558">
        <v>5494686.04</v>
      </c>
      <c r="D100" s="559" t="s">
        <v>704</v>
      </c>
    </row>
    <row r="101" ht="15.75" customHeight="1">
      <c r="A101" s="556">
        <v>58.0</v>
      </c>
      <c r="B101" s="557" t="s">
        <v>728</v>
      </c>
      <c r="C101" s="558">
        <v>19677.4</v>
      </c>
      <c r="D101" s="559" t="s">
        <v>704</v>
      </c>
    </row>
    <row r="102" ht="15.75" customHeight="1">
      <c r="A102" s="556">
        <v>67.0</v>
      </c>
      <c r="B102" s="557" t="s">
        <v>731</v>
      </c>
      <c r="C102" s="558">
        <v>248684.53</v>
      </c>
      <c r="D102" s="559" t="s">
        <v>704</v>
      </c>
    </row>
    <row r="103" ht="15.75" customHeight="1">
      <c r="A103" s="556">
        <v>68.0</v>
      </c>
      <c r="B103" s="557" t="s">
        <v>732</v>
      </c>
      <c r="C103" s="558">
        <v>218699.03</v>
      </c>
      <c r="D103" s="559" t="s">
        <v>704</v>
      </c>
    </row>
    <row r="104" ht="15.75" customHeight="1">
      <c r="A104" s="556">
        <v>69.0</v>
      </c>
      <c r="B104" s="557" t="s">
        <v>733</v>
      </c>
      <c r="C104" s="558">
        <v>54844.82</v>
      </c>
      <c r="D104" s="559" t="s">
        <v>704</v>
      </c>
    </row>
    <row r="105" ht="15.75" customHeight="1">
      <c r="A105" s="556">
        <v>70.0</v>
      </c>
      <c r="B105" s="557" t="s">
        <v>734</v>
      </c>
      <c r="C105" s="558">
        <v>32163.95</v>
      </c>
      <c r="D105" s="559" t="s">
        <v>704</v>
      </c>
    </row>
    <row r="106" ht="15.75" customHeight="1">
      <c r="A106" s="556">
        <v>71.0</v>
      </c>
      <c r="B106" s="557" t="s">
        <v>735</v>
      </c>
      <c r="C106" s="558">
        <v>7038.37</v>
      </c>
      <c r="D106" s="559" t="s">
        <v>704</v>
      </c>
    </row>
    <row r="107" ht="15.75" customHeight="1">
      <c r="A107" s="556">
        <v>121.0</v>
      </c>
      <c r="B107" s="557" t="s">
        <v>749</v>
      </c>
      <c r="C107" s="558">
        <v>23400.0</v>
      </c>
      <c r="D107" s="559" t="s">
        <v>704</v>
      </c>
    </row>
    <row r="108" ht="15.75" customHeight="1">
      <c r="A108" s="561" t="s">
        <v>754</v>
      </c>
      <c r="B108" s="63"/>
      <c r="C108" s="558">
        <v>51424.72</v>
      </c>
      <c r="D108" s="562" t="s">
        <v>704</v>
      </c>
    </row>
    <row r="109" ht="15.75" customHeight="1">
      <c r="A109" s="561" t="s">
        <v>759</v>
      </c>
      <c r="B109" s="63"/>
      <c r="C109" s="558">
        <v>57757.01</v>
      </c>
      <c r="D109" s="562" t="s">
        <v>704</v>
      </c>
    </row>
    <row r="110" ht="15.75" customHeight="1">
      <c r="A110" s="561" t="s">
        <v>763</v>
      </c>
      <c r="B110" s="63"/>
      <c r="C110" s="558">
        <v>5530.0</v>
      </c>
      <c r="D110" s="562" t="s">
        <v>704</v>
      </c>
    </row>
    <row r="111" ht="15.75" customHeight="1">
      <c r="A111" s="563"/>
      <c r="B111" s="563"/>
      <c r="C111" s="315">
        <f>SUM(C96:C110)</f>
        <v>18400030.41</v>
      </c>
      <c r="D111" s="563"/>
    </row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D$76">
    <filterColumn colId="3">
      <filters>
        <filter val="R"/>
        <filter val="I"/>
        <filter val="adiant"/>
      </filters>
    </filterColumn>
  </autoFilter>
  <mergeCells count="29"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1:B71"/>
    <mergeCell ref="A72:B72"/>
    <mergeCell ref="A73:B73"/>
    <mergeCell ref="A74:B74"/>
    <mergeCell ref="E89:F89"/>
    <mergeCell ref="A108:B108"/>
    <mergeCell ref="A109:B109"/>
    <mergeCell ref="A110:B110"/>
    <mergeCell ref="A64:B64"/>
    <mergeCell ref="A65:B65"/>
    <mergeCell ref="A66:B66"/>
    <mergeCell ref="A67:B67"/>
    <mergeCell ref="A68:B68"/>
    <mergeCell ref="A69:B69"/>
    <mergeCell ref="A70:B70"/>
  </mergeCells>
  <printOptions/>
  <pageMargins bottom="0.787401575" footer="0.0" header="0.0" left="0.511811024" right="0.511811024" top="0.7874015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79.71"/>
    <col customWidth="1" min="3" max="6" width="14.43"/>
  </cols>
  <sheetData>
    <row r="1" ht="15.75" customHeight="1">
      <c r="A1" s="532" t="s">
        <v>778</v>
      </c>
      <c r="B1" s="532" t="s">
        <v>779</v>
      </c>
      <c r="C1" s="532" t="s">
        <v>780</v>
      </c>
    </row>
    <row r="2" ht="15.75" customHeight="1">
      <c r="A2" s="126" t="s">
        <v>9</v>
      </c>
      <c r="B2" s="126" t="s">
        <v>10</v>
      </c>
      <c r="C2" s="533">
        <v>1.709990855E7</v>
      </c>
      <c r="D2" s="126" t="s">
        <v>11</v>
      </c>
    </row>
    <row r="3" ht="15.75" customHeight="1">
      <c r="A3" s="126" t="s">
        <v>12</v>
      </c>
      <c r="B3" s="126" t="s">
        <v>13</v>
      </c>
      <c r="C3" s="533">
        <v>287700.51</v>
      </c>
      <c r="D3" s="126" t="s">
        <v>11</v>
      </c>
    </row>
    <row r="4" ht="15.75" customHeight="1">
      <c r="A4" s="126" t="s">
        <v>14</v>
      </c>
      <c r="B4" s="126" t="s">
        <v>15</v>
      </c>
      <c r="C4" s="533">
        <v>643843.27</v>
      </c>
      <c r="D4" s="126" t="s">
        <v>11</v>
      </c>
    </row>
    <row r="5" ht="15.75" customHeight="1">
      <c r="A5" s="126" t="s">
        <v>18</v>
      </c>
      <c r="B5" s="126" t="s">
        <v>19</v>
      </c>
      <c r="C5" s="533">
        <v>612855.42</v>
      </c>
      <c r="D5" s="126" t="s">
        <v>11</v>
      </c>
    </row>
    <row r="6" ht="15.75" customHeight="1">
      <c r="A6" s="126" t="s">
        <v>22</v>
      </c>
      <c r="B6" s="126" t="s">
        <v>23</v>
      </c>
      <c r="C6" s="533">
        <v>2910932.77</v>
      </c>
      <c r="D6" s="126" t="s">
        <v>11</v>
      </c>
    </row>
    <row r="7" ht="15.75" customHeight="1">
      <c r="A7" s="126" t="s">
        <v>24</v>
      </c>
      <c r="B7" s="126" t="s">
        <v>25</v>
      </c>
      <c r="C7" s="533">
        <v>28000.0</v>
      </c>
      <c r="D7" s="126" t="s">
        <v>11</v>
      </c>
    </row>
    <row r="8" ht="15.75" customHeight="1">
      <c r="A8" s="126" t="s">
        <v>26</v>
      </c>
      <c r="B8" s="126" t="s">
        <v>27</v>
      </c>
      <c r="C8" s="533">
        <v>23400.0</v>
      </c>
      <c r="D8" s="126" t="s">
        <v>11</v>
      </c>
    </row>
    <row r="9" ht="15.75" customHeight="1">
      <c r="A9" s="126" t="s">
        <v>28</v>
      </c>
      <c r="B9" s="126" t="s">
        <v>29</v>
      </c>
      <c r="C9" s="533">
        <v>1096.94</v>
      </c>
      <c r="D9" s="126" t="s">
        <v>11</v>
      </c>
    </row>
    <row r="10" ht="15.75" customHeight="1">
      <c r="A10" s="126" t="s">
        <v>34</v>
      </c>
      <c r="B10" s="126" t="s">
        <v>35</v>
      </c>
      <c r="C10" s="533">
        <v>4914358.14</v>
      </c>
      <c r="D10" s="126" t="s">
        <v>11</v>
      </c>
    </row>
    <row r="11" ht="15.75" customHeight="1">
      <c r="A11" s="126" t="s">
        <v>36</v>
      </c>
      <c r="B11" s="126" t="s">
        <v>37</v>
      </c>
      <c r="C11" s="533">
        <v>149635.67</v>
      </c>
      <c r="D11" s="126" t="s">
        <v>11</v>
      </c>
    </row>
    <row r="12" ht="15.75" customHeight="1">
      <c r="A12" s="126" t="s">
        <v>781</v>
      </c>
      <c r="B12" s="126" t="s">
        <v>782</v>
      </c>
      <c r="C12" s="533">
        <v>15526.11</v>
      </c>
      <c r="D12" s="126" t="s">
        <v>11</v>
      </c>
    </row>
    <row r="13" ht="15.75" customHeight="1">
      <c r="A13" s="126" t="s">
        <v>783</v>
      </c>
      <c r="B13" s="126" t="s">
        <v>456</v>
      </c>
      <c r="C13" s="533">
        <v>500000.0</v>
      </c>
      <c r="D13" s="126" t="s">
        <v>11</v>
      </c>
    </row>
    <row r="14" ht="15.75" customHeight="1">
      <c r="A14" s="126" t="s">
        <v>784</v>
      </c>
      <c r="B14" s="126" t="s">
        <v>785</v>
      </c>
      <c r="C14" s="533">
        <v>362120.06</v>
      </c>
      <c r="D14" s="126" t="s">
        <v>11</v>
      </c>
    </row>
    <row r="15" ht="15.75" customHeight="1">
      <c r="A15" s="126" t="s">
        <v>786</v>
      </c>
      <c r="B15" s="126" t="s">
        <v>787</v>
      </c>
      <c r="C15" s="533">
        <v>357469.35</v>
      </c>
      <c r="D15" s="126" t="s">
        <v>11</v>
      </c>
    </row>
    <row r="16" ht="15.75" customHeight="1">
      <c r="A16" s="126" t="s">
        <v>788</v>
      </c>
      <c r="B16" s="126" t="s">
        <v>789</v>
      </c>
      <c r="C16" s="533">
        <v>753981.84</v>
      </c>
      <c r="D16" s="126" t="s">
        <v>11</v>
      </c>
    </row>
    <row r="17" ht="15.75" customHeight="1">
      <c r="A17" s="126" t="s">
        <v>790</v>
      </c>
      <c r="B17" s="126" t="s">
        <v>791</v>
      </c>
      <c r="C17" s="533">
        <v>392483.18</v>
      </c>
      <c r="D17" s="126" t="s">
        <v>11</v>
      </c>
    </row>
    <row r="18" ht="15.75" customHeight="1">
      <c r="A18" s="126" t="s">
        <v>792</v>
      </c>
      <c r="B18" s="126" t="s">
        <v>793</v>
      </c>
      <c r="C18" s="533">
        <v>702251.39</v>
      </c>
      <c r="D18" s="126" t="s">
        <v>11</v>
      </c>
    </row>
    <row r="19" ht="15.75" customHeight="1">
      <c r="A19" s="126" t="s">
        <v>794</v>
      </c>
      <c r="B19" s="126" t="s">
        <v>795</v>
      </c>
      <c r="C19" s="533">
        <v>461228.98</v>
      </c>
      <c r="D19" s="126" t="s">
        <v>11</v>
      </c>
    </row>
    <row r="20" ht="15.75" customHeight="1">
      <c r="A20" s="126" t="s">
        <v>796</v>
      </c>
      <c r="B20" s="126" t="s">
        <v>797</v>
      </c>
      <c r="C20" s="533">
        <v>230366.66</v>
      </c>
      <c r="D20" s="126" t="s">
        <v>11</v>
      </c>
    </row>
    <row r="21" ht="15.75" customHeight="1">
      <c r="A21" s="126" t="s">
        <v>30</v>
      </c>
      <c r="B21" s="126" t="s">
        <v>798</v>
      </c>
      <c r="C21" s="533">
        <v>37165.54</v>
      </c>
      <c r="D21" s="126" t="s">
        <v>11</v>
      </c>
    </row>
    <row r="22" ht="15.75" customHeight="1">
      <c r="A22" s="126" t="s">
        <v>799</v>
      </c>
      <c r="B22" s="126" t="s">
        <v>800</v>
      </c>
      <c r="C22" s="533">
        <v>20395.2</v>
      </c>
      <c r="D22" s="126" t="s">
        <v>11</v>
      </c>
    </row>
    <row r="23" ht="15.75" customHeight="1">
      <c r="A23" s="126" t="s">
        <v>801</v>
      </c>
      <c r="B23" s="126" t="s">
        <v>802</v>
      </c>
      <c r="C23" s="533">
        <v>6844.74</v>
      </c>
      <c r="D23" s="126" t="s">
        <v>11</v>
      </c>
    </row>
    <row r="24" ht="15.75" customHeight="1">
      <c r="A24" s="126" t="s">
        <v>803</v>
      </c>
      <c r="B24" s="126" t="s">
        <v>804</v>
      </c>
      <c r="C24" s="533">
        <v>5969.36</v>
      </c>
      <c r="D24" s="126" t="s">
        <v>11</v>
      </c>
    </row>
    <row r="25" ht="15.75" customHeight="1">
      <c r="A25" s="126" t="s">
        <v>805</v>
      </c>
      <c r="B25" s="126" t="s">
        <v>806</v>
      </c>
      <c r="C25" s="533">
        <v>1850.06</v>
      </c>
      <c r="D25" s="126" t="s">
        <v>11</v>
      </c>
    </row>
    <row r="26" ht="15.75" customHeight="1">
      <c r="A26" s="126" t="s">
        <v>807</v>
      </c>
      <c r="B26" s="126" t="s">
        <v>808</v>
      </c>
      <c r="C26" s="533">
        <v>1375.06</v>
      </c>
      <c r="D26" s="126" t="s">
        <v>11</v>
      </c>
    </row>
    <row r="27" ht="15.75" customHeight="1">
      <c r="A27" s="126" t="s">
        <v>809</v>
      </c>
      <c r="B27" s="126" t="s">
        <v>810</v>
      </c>
      <c r="C27" s="533">
        <v>12884.26</v>
      </c>
      <c r="D27" s="126" t="s">
        <v>11</v>
      </c>
    </row>
    <row r="28" ht="15.75" customHeight="1">
      <c r="A28" s="126" t="s">
        <v>811</v>
      </c>
      <c r="B28" s="126" t="s">
        <v>812</v>
      </c>
      <c r="C28" s="534">
        <v>230.0</v>
      </c>
      <c r="D28" s="126" t="s">
        <v>11</v>
      </c>
    </row>
    <row r="29" ht="15.75" customHeight="1">
      <c r="A29" s="126" t="s">
        <v>813</v>
      </c>
      <c r="B29" s="126" t="s">
        <v>814</v>
      </c>
      <c r="C29" s="533">
        <v>1804.17</v>
      </c>
      <c r="D29" s="126" t="s">
        <v>11</v>
      </c>
    </row>
    <row r="30" ht="15.75" customHeight="1">
      <c r="A30" s="126" t="s">
        <v>815</v>
      </c>
      <c r="B30" s="126" t="s">
        <v>816</v>
      </c>
      <c r="C30" s="534">
        <v>107.7</v>
      </c>
      <c r="D30" s="126" t="s">
        <v>11</v>
      </c>
    </row>
    <row r="31" ht="15.75" customHeight="1">
      <c r="A31" s="126" t="s">
        <v>817</v>
      </c>
      <c r="B31" s="126" t="s">
        <v>818</v>
      </c>
      <c r="C31" s="533">
        <v>11965.94</v>
      </c>
      <c r="D31" s="126" t="s">
        <v>11</v>
      </c>
    </row>
    <row r="32" ht="15.75" customHeight="1">
      <c r="A32" s="126" t="s">
        <v>819</v>
      </c>
      <c r="B32" s="126" t="s">
        <v>820</v>
      </c>
      <c r="C32" s="533">
        <v>13870.0</v>
      </c>
      <c r="D32" s="126" t="s">
        <v>11</v>
      </c>
    </row>
    <row r="33" ht="15.75" customHeight="1">
      <c r="A33" s="126" t="s">
        <v>821</v>
      </c>
      <c r="B33" s="126" t="s">
        <v>822</v>
      </c>
      <c r="C33" s="533">
        <v>1680.0</v>
      </c>
      <c r="D33" s="126" t="s">
        <v>11</v>
      </c>
    </row>
    <row r="34" ht="15.75" customHeight="1">
      <c r="A34" s="126" t="s">
        <v>823</v>
      </c>
      <c r="B34" s="126" t="s">
        <v>824</v>
      </c>
      <c r="C34" s="533">
        <v>2180.0</v>
      </c>
      <c r="D34" s="126" t="s">
        <v>11</v>
      </c>
    </row>
    <row r="35" ht="15.75" customHeight="1">
      <c r="A35" s="126" t="s">
        <v>825</v>
      </c>
      <c r="B35" s="126" t="s">
        <v>826</v>
      </c>
      <c r="C35" s="533">
        <v>1068295.17</v>
      </c>
      <c r="D35" s="126" t="s">
        <v>11</v>
      </c>
    </row>
    <row r="36" ht="15.75" customHeight="1">
      <c r="A36" s="126" t="s">
        <v>827</v>
      </c>
      <c r="B36" s="126" t="s">
        <v>828</v>
      </c>
      <c r="C36" s="533">
        <v>149279.65</v>
      </c>
      <c r="D36" s="126" t="s">
        <v>11</v>
      </c>
    </row>
    <row r="37" ht="15.75" customHeight="1">
      <c r="A37" s="126" t="s">
        <v>829</v>
      </c>
      <c r="B37" s="126" t="s">
        <v>830</v>
      </c>
      <c r="C37" s="533">
        <v>20029.71</v>
      </c>
      <c r="D37" s="126" t="s">
        <v>11</v>
      </c>
    </row>
    <row r="38" ht="15.75" customHeight="1">
      <c r="A38" s="126" t="s">
        <v>831</v>
      </c>
      <c r="B38" s="126" t="s">
        <v>832</v>
      </c>
      <c r="C38" s="533">
        <v>10661.07</v>
      </c>
      <c r="D38" s="126" t="s">
        <v>11</v>
      </c>
    </row>
    <row r="39" ht="15.75" customHeight="1">
      <c r="A39" s="126" t="s">
        <v>833</v>
      </c>
      <c r="B39" s="126" t="s">
        <v>834</v>
      </c>
      <c r="C39" s="533">
        <v>8994.08</v>
      </c>
      <c r="D39" s="126" t="s">
        <v>11</v>
      </c>
    </row>
    <row r="40" ht="15.75" customHeight="1">
      <c r="A40" s="126" t="s">
        <v>835</v>
      </c>
      <c r="B40" s="126" t="s">
        <v>836</v>
      </c>
      <c r="C40" s="533">
        <v>1539.06</v>
      </c>
      <c r="D40" s="126" t="s">
        <v>11</v>
      </c>
    </row>
    <row r="41" ht="15.75" customHeight="1">
      <c r="A41" s="126" t="s">
        <v>837</v>
      </c>
      <c r="B41" s="126" t="s">
        <v>838</v>
      </c>
      <c r="C41" s="533">
        <v>13248.84</v>
      </c>
      <c r="D41" s="126" t="s">
        <v>11</v>
      </c>
    </row>
    <row r="42" ht="15.75" customHeight="1">
      <c r="A42" s="126" t="s">
        <v>839</v>
      </c>
      <c r="B42" s="126" t="s">
        <v>840</v>
      </c>
      <c r="C42" s="533">
        <v>14689.49</v>
      </c>
      <c r="D42" s="126" t="s">
        <v>11</v>
      </c>
    </row>
    <row r="43" ht="15.75" customHeight="1">
      <c r="A43" s="126" t="s">
        <v>841</v>
      </c>
      <c r="B43" s="126" t="s">
        <v>842</v>
      </c>
      <c r="C43" s="533">
        <v>36415.34</v>
      </c>
      <c r="D43" s="126" t="s">
        <v>11</v>
      </c>
    </row>
    <row r="44" ht="15.75" customHeight="1">
      <c r="A44" s="126" t="s">
        <v>843</v>
      </c>
      <c r="B44" s="126" t="s">
        <v>844</v>
      </c>
      <c r="C44" s="533">
        <v>9280.0</v>
      </c>
      <c r="D44" s="126" t="s">
        <v>11</v>
      </c>
    </row>
    <row r="45" ht="15.75" customHeight="1">
      <c r="A45" s="126" t="s">
        <v>845</v>
      </c>
      <c r="B45" s="126" t="s">
        <v>846</v>
      </c>
      <c r="C45" s="533">
        <v>5445.56</v>
      </c>
      <c r="D45" s="126" t="s">
        <v>11</v>
      </c>
    </row>
    <row r="46" ht="15.75" customHeight="1">
      <c r="A46" s="126" t="s">
        <v>847</v>
      </c>
      <c r="B46" s="126" t="s">
        <v>848</v>
      </c>
      <c r="C46" s="533">
        <v>52854.59</v>
      </c>
      <c r="D46" s="126" t="s">
        <v>11</v>
      </c>
    </row>
    <row r="47" ht="15.75" customHeight="1">
      <c r="A47" s="126" t="s">
        <v>849</v>
      </c>
      <c r="B47" s="126" t="s">
        <v>850</v>
      </c>
      <c r="C47" s="533">
        <v>14405.21</v>
      </c>
      <c r="D47" s="126" t="s">
        <v>11</v>
      </c>
    </row>
    <row r="48" ht="15.75" customHeight="1">
      <c r="A48" s="126" t="s">
        <v>851</v>
      </c>
      <c r="B48" s="126" t="s">
        <v>852</v>
      </c>
      <c r="C48" s="533">
        <v>4479.99</v>
      </c>
      <c r="D48" s="126" t="s">
        <v>11</v>
      </c>
    </row>
    <row r="49" ht="15.75" customHeight="1">
      <c r="A49" s="126" t="s">
        <v>853</v>
      </c>
      <c r="B49" s="126" t="s">
        <v>854</v>
      </c>
      <c r="C49" s="533">
        <v>3941.86</v>
      </c>
      <c r="D49" s="126" t="s">
        <v>11</v>
      </c>
    </row>
    <row r="50" ht="15.75" customHeight="1">
      <c r="A50" s="126" t="s">
        <v>855</v>
      </c>
      <c r="B50" s="126" t="s">
        <v>856</v>
      </c>
      <c r="C50" s="533">
        <v>2684.76</v>
      </c>
      <c r="D50" s="126" t="s">
        <v>11</v>
      </c>
    </row>
    <row r="51" ht="15.75" customHeight="1">
      <c r="A51" s="126" t="s">
        <v>857</v>
      </c>
      <c r="B51" s="126" t="s">
        <v>858</v>
      </c>
      <c r="C51" s="533">
        <v>8866.64</v>
      </c>
      <c r="D51" s="126" t="s">
        <v>11</v>
      </c>
    </row>
    <row r="52" ht="15.75" customHeight="1">
      <c r="A52" s="126" t="s">
        <v>859</v>
      </c>
      <c r="B52" s="126" t="s">
        <v>860</v>
      </c>
      <c r="C52" s="533">
        <v>23441.94</v>
      </c>
      <c r="D52" s="126" t="s">
        <v>11</v>
      </c>
    </row>
    <row r="53" ht="15.75" customHeight="1">
      <c r="A53" s="126" t="s">
        <v>861</v>
      </c>
      <c r="B53" s="126" t="s">
        <v>862</v>
      </c>
      <c r="C53" s="533">
        <v>21320.3</v>
      </c>
      <c r="D53" s="126" t="s">
        <v>11</v>
      </c>
    </row>
    <row r="54" ht="15.75" customHeight="1">
      <c r="A54" s="126" t="s">
        <v>863</v>
      </c>
      <c r="B54" s="126" t="s">
        <v>864</v>
      </c>
      <c r="C54" s="533">
        <v>1730.0</v>
      </c>
      <c r="D54" s="126" t="s">
        <v>11</v>
      </c>
    </row>
    <row r="55" ht="15.75" customHeight="1">
      <c r="A55" s="126" t="s">
        <v>865</v>
      </c>
      <c r="B55" s="126" t="s">
        <v>866</v>
      </c>
      <c r="C55" s="533">
        <v>86845.76</v>
      </c>
      <c r="D55" s="126" t="s">
        <v>11</v>
      </c>
    </row>
    <row r="56" ht="15.75" customHeight="1">
      <c r="A56" s="126" t="s">
        <v>867</v>
      </c>
      <c r="B56" s="126" t="s">
        <v>868</v>
      </c>
      <c r="C56" s="533">
        <v>31827.03</v>
      </c>
      <c r="D56" s="126" t="s">
        <v>11</v>
      </c>
    </row>
    <row r="57" ht="15.75" customHeight="1">
      <c r="A57" s="126" t="s">
        <v>869</v>
      </c>
      <c r="B57" s="126" t="s">
        <v>870</v>
      </c>
      <c r="C57" s="533">
        <v>8812.5</v>
      </c>
      <c r="D57" s="126" t="s">
        <v>11</v>
      </c>
    </row>
    <row r="58" ht="15.75" customHeight="1">
      <c r="A58" s="126" t="s">
        <v>871</v>
      </c>
      <c r="B58" s="126" t="s">
        <v>872</v>
      </c>
      <c r="C58" s="533">
        <v>58025.34</v>
      </c>
      <c r="D58" s="126" t="s">
        <v>11</v>
      </c>
    </row>
    <row r="59" ht="15.75" customHeight="1">
      <c r="A59" s="126" t="s">
        <v>873</v>
      </c>
      <c r="B59" s="126" t="s">
        <v>874</v>
      </c>
      <c r="C59" s="533">
        <v>37558.46</v>
      </c>
      <c r="D59" s="126" t="s">
        <v>11</v>
      </c>
    </row>
    <row r="60" ht="15.75" customHeight="1">
      <c r="A60" s="126" t="s">
        <v>875</v>
      </c>
      <c r="B60" s="126" t="s">
        <v>876</v>
      </c>
      <c r="C60" s="533">
        <v>134078.66</v>
      </c>
      <c r="D60" s="126" t="s">
        <v>11</v>
      </c>
    </row>
    <row r="61" ht="15.75" customHeight="1">
      <c r="A61" s="126" t="s">
        <v>877</v>
      </c>
      <c r="B61" s="126" t="s">
        <v>878</v>
      </c>
      <c r="C61" s="533">
        <v>61010.53</v>
      </c>
      <c r="D61" s="126" t="s">
        <v>11</v>
      </c>
    </row>
    <row r="62" ht="15.75" customHeight="1">
      <c r="A62" s="126" t="s">
        <v>879</v>
      </c>
      <c r="B62" s="126" t="s">
        <v>880</v>
      </c>
      <c r="C62" s="533">
        <v>176755.59</v>
      </c>
      <c r="D62" s="126" t="s">
        <v>11</v>
      </c>
    </row>
    <row r="63" ht="15.75" customHeight="1">
      <c r="A63" s="126" t="s">
        <v>881</v>
      </c>
      <c r="B63" s="126" t="s">
        <v>882</v>
      </c>
      <c r="C63" s="534">
        <v>51.75</v>
      </c>
      <c r="D63" s="126" t="s">
        <v>11</v>
      </c>
    </row>
    <row r="64" ht="15.75" customHeight="1">
      <c r="A64" s="126" t="s">
        <v>883</v>
      </c>
      <c r="B64" s="126" t="s">
        <v>884</v>
      </c>
      <c r="C64" s="533">
        <v>122459.28</v>
      </c>
      <c r="D64" s="126" t="s">
        <v>11</v>
      </c>
    </row>
    <row r="65" ht="15.75" customHeight="1">
      <c r="A65" s="126" t="s">
        <v>885</v>
      </c>
      <c r="B65" s="126" t="s">
        <v>886</v>
      </c>
      <c r="C65" s="533">
        <v>1053.24</v>
      </c>
      <c r="D65" s="126" t="s">
        <v>11</v>
      </c>
    </row>
    <row r="66" ht="15.75" customHeight="1">
      <c r="A66" s="126" t="s">
        <v>887</v>
      </c>
      <c r="B66" s="126" t="s">
        <v>888</v>
      </c>
      <c r="C66" s="533">
        <v>30489.5</v>
      </c>
      <c r="D66" s="126" t="s">
        <v>11</v>
      </c>
    </row>
    <row r="67" ht="15.75" customHeight="1">
      <c r="A67" s="126" t="s">
        <v>889</v>
      </c>
      <c r="B67" s="126" t="s">
        <v>890</v>
      </c>
      <c r="C67" s="534">
        <v>699.54</v>
      </c>
      <c r="D67" s="126" t="s">
        <v>11</v>
      </c>
    </row>
    <row r="68" ht="15.75" customHeight="1">
      <c r="A68" s="534"/>
      <c r="C68" s="533">
        <v>3.278675131E7</v>
      </c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68:B68"/>
  </mergeCells>
  <printOptions/>
  <pageMargins bottom="0.787401575" footer="0.0" header="0.0" left="0.511811024" right="0.511811024" top="0.7874015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67.0"/>
    <col customWidth="1" min="3" max="6" width="14.43"/>
  </cols>
  <sheetData>
    <row r="1" ht="15.75" customHeight="1"/>
    <row r="2" ht="15.75" customHeight="1"/>
    <row r="3" ht="15.75" customHeight="1">
      <c r="A3" s="325" t="s">
        <v>891</v>
      </c>
      <c r="B3" s="325" t="s">
        <v>892</v>
      </c>
    </row>
    <row r="4" ht="15.75" customHeight="1">
      <c r="A4" s="126" t="s">
        <v>9</v>
      </c>
      <c r="B4" s="126" t="s">
        <v>893</v>
      </c>
      <c r="G4" s="126"/>
      <c r="H4" s="126"/>
    </row>
    <row r="5" ht="15.75" customHeight="1">
      <c r="A5" s="126" t="s">
        <v>894</v>
      </c>
      <c r="B5" s="126" t="s">
        <v>895</v>
      </c>
      <c r="G5" s="126"/>
      <c r="H5" s="126"/>
    </row>
    <row r="6" ht="15.75" customHeight="1">
      <c r="A6" s="126" t="s">
        <v>12</v>
      </c>
      <c r="B6" s="126" t="s">
        <v>13</v>
      </c>
      <c r="G6" s="126"/>
      <c r="H6" s="126"/>
    </row>
    <row r="7" ht="15.75" customHeight="1">
      <c r="A7" s="126" t="s">
        <v>896</v>
      </c>
      <c r="B7" s="126" t="s">
        <v>897</v>
      </c>
      <c r="G7" s="126"/>
      <c r="H7" s="126"/>
    </row>
    <row r="8" ht="15.75" customHeight="1">
      <c r="A8" s="126" t="s">
        <v>898</v>
      </c>
      <c r="B8" s="126" t="s">
        <v>899</v>
      </c>
      <c r="G8" s="126"/>
      <c r="H8" s="126"/>
    </row>
    <row r="9" ht="15.75" customHeight="1">
      <c r="A9" s="126" t="s">
        <v>14</v>
      </c>
      <c r="B9" s="126" t="s">
        <v>900</v>
      </c>
      <c r="G9" s="126"/>
      <c r="H9" s="126"/>
    </row>
    <row r="10" ht="15.75" customHeight="1">
      <c r="A10" s="126" t="s">
        <v>16</v>
      </c>
      <c r="B10" s="126" t="s">
        <v>901</v>
      </c>
      <c r="G10" s="126"/>
      <c r="H10" s="126"/>
    </row>
    <row r="11" ht="15.75" customHeight="1">
      <c r="A11" s="126" t="s">
        <v>18</v>
      </c>
      <c r="B11" s="126" t="s">
        <v>902</v>
      </c>
    </row>
    <row r="12" ht="15.75" customHeight="1">
      <c r="A12" s="126" t="s">
        <v>903</v>
      </c>
      <c r="B12" s="126" t="s">
        <v>904</v>
      </c>
      <c r="G12" s="126"/>
      <c r="H12" s="126"/>
    </row>
    <row r="13" ht="15.75" customHeight="1">
      <c r="A13" s="126" t="s">
        <v>905</v>
      </c>
      <c r="B13" s="126" t="s">
        <v>906</v>
      </c>
      <c r="G13" s="126"/>
      <c r="H13" s="126"/>
    </row>
    <row r="14" ht="15.75" customHeight="1">
      <c r="A14" s="126" t="s">
        <v>20</v>
      </c>
      <c r="B14" s="126" t="s">
        <v>907</v>
      </c>
    </row>
    <row r="15" ht="15.75" customHeight="1">
      <c r="A15" s="126" t="s">
        <v>908</v>
      </c>
      <c r="B15" s="126" t="s">
        <v>909</v>
      </c>
      <c r="G15" s="126"/>
      <c r="H15" s="126"/>
    </row>
    <row r="16" ht="15.75" customHeight="1">
      <c r="A16" s="126" t="s">
        <v>22</v>
      </c>
      <c r="B16" s="126" t="s">
        <v>910</v>
      </c>
    </row>
    <row r="17" ht="15.75" customHeight="1">
      <c r="A17" s="126" t="s">
        <v>911</v>
      </c>
      <c r="B17" s="126" t="s">
        <v>912</v>
      </c>
      <c r="G17" s="126"/>
      <c r="H17" s="126"/>
    </row>
    <row r="18" ht="15.75" customHeight="1">
      <c r="A18" s="564" t="s">
        <v>913</v>
      </c>
      <c r="B18" s="564" t="s">
        <v>914</v>
      </c>
    </row>
    <row r="19" ht="15.75" customHeight="1">
      <c r="A19" s="564" t="s">
        <v>915</v>
      </c>
      <c r="B19" s="564" t="s">
        <v>916</v>
      </c>
    </row>
    <row r="20" ht="15.75" customHeight="1">
      <c r="A20" s="564" t="s">
        <v>917</v>
      </c>
      <c r="B20" s="564" t="s">
        <v>918</v>
      </c>
    </row>
    <row r="21" ht="15.75" customHeight="1">
      <c r="A21" s="564" t="s">
        <v>919</v>
      </c>
      <c r="B21" s="564" t="s">
        <v>920</v>
      </c>
    </row>
    <row r="22" ht="15.75" customHeight="1">
      <c r="A22" s="564" t="s">
        <v>921</v>
      </c>
      <c r="B22" s="564" t="s">
        <v>922</v>
      </c>
    </row>
    <row r="23" ht="15.75" customHeight="1">
      <c r="A23" s="126" t="s">
        <v>923</v>
      </c>
      <c r="B23" s="126" t="s">
        <v>924</v>
      </c>
    </row>
    <row r="24" ht="15.75" customHeight="1">
      <c r="A24" s="126" t="s">
        <v>24</v>
      </c>
      <c r="B24" s="126" t="s">
        <v>925</v>
      </c>
    </row>
    <row r="25" ht="15.75" customHeight="1">
      <c r="A25" s="565" t="s">
        <v>926</v>
      </c>
      <c r="B25" s="564" t="s">
        <v>927</v>
      </c>
    </row>
    <row r="26" ht="15.75" customHeight="1">
      <c r="A26" s="126" t="s">
        <v>32</v>
      </c>
      <c r="B26" s="126" t="s">
        <v>928</v>
      </c>
    </row>
    <row r="27" ht="15.75" customHeight="1">
      <c r="A27" s="126" t="s">
        <v>929</v>
      </c>
      <c r="B27" s="126" t="s">
        <v>930</v>
      </c>
    </row>
    <row r="28" ht="15.75" customHeight="1">
      <c r="A28" s="126" t="s">
        <v>931</v>
      </c>
      <c r="B28" s="126" t="s">
        <v>932</v>
      </c>
    </row>
    <row r="29" ht="15.75" customHeight="1">
      <c r="A29" s="126" t="s">
        <v>933</v>
      </c>
      <c r="B29" s="126" t="s">
        <v>934</v>
      </c>
    </row>
    <row r="30" ht="15.75" customHeight="1">
      <c r="A30" s="564" t="s">
        <v>935</v>
      </c>
      <c r="B30" s="564" t="s">
        <v>936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>
      <c r="B36" s="566">
        <v>43241.0</v>
      </c>
      <c r="C36" s="13">
        <v>20001.0</v>
      </c>
      <c r="D36" s="13">
        <v>1.0</v>
      </c>
      <c r="E36" s="13" t="s">
        <v>937</v>
      </c>
      <c r="F36" s="13" t="s">
        <v>938</v>
      </c>
      <c r="G36" s="17">
        <v>205019.91</v>
      </c>
      <c r="H36" s="13" t="s">
        <v>11</v>
      </c>
      <c r="I36" s="17"/>
      <c r="J36" s="17">
        <v>1112313.32</v>
      </c>
      <c r="K36" s="13" t="s">
        <v>11</v>
      </c>
      <c r="L36" s="13"/>
      <c r="M36" s="567">
        <v>43241.37719907407</v>
      </c>
    </row>
    <row r="37" ht="15.75" customHeight="1">
      <c r="A37" s="22"/>
      <c r="B37" s="568">
        <v>43241.0</v>
      </c>
      <c r="C37" s="22">
        <v>20001.0</v>
      </c>
      <c r="D37" s="22">
        <v>1.0</v>
      </c>
      <c r="E37" s="22" t="s">
        <v>939</v>
      </c>
      <c r="F37" s="22" t="s">
        <v>938</v>
      </c>
      <c r="G37" s="20">
        <v>28716.83</v>
      </c>
      <c r="H37" s="22" t="s">
        <v>11</v>
      </c>
      <c r="I37" s="20"/>
      <c r="J37" s="20">
        <v>1141030.15</v>
      </c>
      <c r="K37" s="22" t="s">
        <v>11</v>
      </c>
      <c r="L37" s="22"/>
      <c r="M37" s="569">
        <v>43241.39408564815</v>
      </c>
    </row>
    <row r="38" ht="15.75" customHeight="1">
      <c r="A38" s="13"/>
      <c r="B38" s="566">
        <v>43241.0</v>
      </c>
      <c r="C38" s="13">
        <v>20001.0</v>
      </c>
      <c r="D38" s="13">
        <v>1.0</v>
      </c>
      <c r="E38" s="13" t="s">
        <v>940</v>
      </c>
      <c r="F38" s="13" t="s">
        <v>938</v>
      </c>
      <c r="G38" s="17">
        <v>7840.77</v>
      </c>
      <c r="H38" s="13" t="s">
        <v>11</v>
      </c>
      <c r="I38" s="17"/>
      <c r="J38" s="17">
        <v>1148870.92</v>
      </c>
      <c r="K38" s="13" t="s">
        <v>11</v>
      </c>
      <c r="L38" s="13"/>
      <c r="M38" s="567">
        <v>43241.40310185185</v>
      </c>
    </row>
    <row r="39" ht="15.75" customHeight="1">
      <c r="A39" s="22"/>
      <c r="B39" s="568">
        <v>43241.0</v>
      </c>
      <c r="C39" s="22">
        <v>20001.0</v>
      </c>
      <c r="D39" s="22">
        <v>1.0</v>
      </c>
      <c r="E39" s="22" t="s">
        <v>941</v>
      </c>
      <c r="F39" s="22" t="s">
        <v>938</v>
      </c>
      <c r="G39" s="20">
        <v>5627.75</v>
      </c>
      <c r="H39" s="22" t="s">
        <v>11</v>
      </c>
      <c r="I39" s="20"/>
      <c r="J39" s="20">
        <v>1154498.67</v>
      </c>
      <c r="K39" s="22" t="s">
        <v>11</v>
      </c>
      <c r="L39" s="22" t="s">
        <v>942</v>
      </c>
      <c r="M39" s="569">
        <v>43241.4093287037</v>
      </c>
    </row>
    <row r="40" ht="15.75" customHeight="1">
      <c r="A40" s="13"/>
      <c r="B40" s="566">
        <v>43271.0</v>
      </c>
      <c r="C40" s="13">
        <v>20001.0</v>
      </c>
      <c r="D40" s="13">
        <v>1.0</v>
      </c>
      <c r="E40" s="13" t="s">
        <v>943</v>
      </c>
      <c r="F40" s="13" t="s">
        <v>938</v>
      </c>
      <c r="G40" s="17">
        <v>202695.87</v>
      </c>
      <c r="H40" s="13" t="s">
        <v>11</v>
      </c>
      <c r="I40" s="17"/>
      <c r="J40" s="17">
        <v>1357194.54</v>
      </c>
      <c r="K40" s="13" t="s">
        <v>11</v>
      </c>
      <c r="L40" s="13"/>
      <c r="M40" s="567">
        <v>43271.60457175926</v>
      </c>
    </row>
    <row r="41" ht="15.75" customHeight="1">
      <c r="A41" s="22"/>
      <c r="B41" s="568">
        <v>43271.0</v>
      </c>
      <c r="C41" s="22">
        <v>20001.0</v>
      </c>
      <c r="D41" s="22">
        <v>1.0</v>
      </c>
      <c r="E41" s="22" t="s">
        <v>944</v>
      </c>
      <c r="F41" s="22" t="s">
        <v>938</v>
      </c>
      <c r="G41" s="20">
        <v>28259.75</v>
      </c>
      <c r="H41" s="22" t="s">
        <v>11</v>
      </c>
      <c r="I41" s="20"/>
      <c r="J41" s="20">
        <v>1385454.29</v>
      </c>
      <c r="K41" s="22" t="s">
        <v>11</v>
      </c>
      <c r="L41" s="22"/>
      <c r="M41" s="569">
        <v>43272.362546296295</v>
      </c>
    </row>
    <row r="42" ht="15.75" customHeight="1">
      <c r="A42" s="13"/>
      <c r="B42" s="566">
        <v>43271.0</v>
      </c>
      <c r="C42" s="13">
        <v>20001.0</v>
      </c>
      <c r="D42" s="13">
        <v>1.0</v>
      </c>
      <c r="E42" s="13" t="s">
        <v>945</v>
      </c>
      <c r="F42" s="13" t="s">
        <v>938</v>
      </c>
      <c r="G42" s="17">
        <v>7632.77</v>
      </c>
      <c r="H42" s="13" t="s">
        <v>11</v>
      </c>
      <c r="I42" s="17"/>
      <c r="J42" s="17">
        <v>1393087.06</v>
      </c>
      <c r="K42" s="13" t="s">
        <v>11</v>
      </c>
      <c r="L42" s="13"/>
      <c r="M42" s="567">
        <v>43272.3705787037</v>
      </c>
    </row>
    <row r="43" ht="15.75" customHeight="1">
      <c r="A43" s="22"/>
      <c r="B43" s="568">
        <v>43271.0</v>
      </c>
      <c r="C43" s="22">
        <v>20001.0</v>
      </c>
      <c r="D43" s="22">
        <v>1.0</v>
      </c>
      <c r="E43" s="22" t="s">
        <v>946</v>
      </c>
      <c r="F43" s="22" t="s">
        <v>938</v>
      </c>
      <c r="G43" s="20">
        <v>5433.46</v>
      </c>
      <c r="H43" s="22" t="s">
        <v>11</v>
      </c>
      <c r="I43" s="20"/>
      <c r="J43" s="20">
        <v>1398520.52</v>
      </c>
      <c r="K43" s="22" t="s">
        <v>11</v>
      </c>
      <c r="L43" s="22" t="s">
        <v>942</v>
      </c>
      <c r="M43" s="569">
        <v>43272.41175925926</v>
      </c>
    </row>
    <row r="44" ht="15.75" customHeight="1">
      <c r="A44" s="13"/>
      <c r="B44" s="566">
        <v>43301.0</v>
      </c>
      <c r="C44" s="13">
        <v>20001.0</v>
      </c>
      <c r="D44" s="13">
        <v>1.0</v>
      </c>
      <c r="E44" s="13" t="s">
        <v>947</v>
      </c>
      <c r="F44" s="13" t="s">
        <v>938</v>
      </c>
      <c r="G44" s="17">
        <v>202695.87</v>
      </c>
      <c r="H44" s="13" t="s">
        <v>11</v>
      </c>
      <c r="I44" s="17"/>
      <c r="J44" s="17">
        <v>1601216.39</v>
      </c>
      <c r="K44" s="13" t="s">
        <v>11</v>
      </c>
      <c r="L44" s="13"/>
      <c r="M44" s="567">
        <v>43301.40913194444</v>
      </c>
    </row>
    <row r="45" ht="15.75" customHeight="1">
      <c r="A45" s="22"/>
      <c r="B45" s="568">
        <v>43301.0</v>
      </c>
      <c r="C45" s="22">
        <v>20001.0</v>
      </c>
      <c r="D45" s="22">
        <v>1.0</v>
      </c>
      <c r="E45" s="22" t="s">
        <v>948</v>
      </c>
      <c r="F45" s="22" t="s">
        <v>938</v>
      </c>
      <c r="G45" s="20">
        <v>28259.75</v>
      </c>
      <c r="H45" s="22" t="s">
        <v>11</v>
      </c>
      <c r="I45" s="20"/>
      <c r="J45" s="20">
        <v>1629476.14</v>
      </c>
      <c r="K45" s="22" t="s">
        <v>11</v>
      </c>
      <c r="L45" s="22"/>
      <c r="M45" s="569">
        <v>43301.428148148145</v>
      </c>
    </row>
    <row r="46" ht="15.75" customHeight="1">
      <c r="A46" s="13"/>
      <c r="B46" s="566">
        <v>43301.0</v>
      </c>
      <c r="C46" s="13">
        <v>20001.0</v>
      </c>
      <c r="D46" s="13">
        <v>1.0</v>
      </c>
      <c r="E46" s="13" t="s">
        <v>949</v>
      </c>
      <c r="F46" s="13" t="s">
        <v>938</v>
      </c>
      <c r="G46" s="17">
        <v>7632.77</v>
      </c>
      <c r="H46" s="13" t="s">
        <v>11</v>
      </c>
      <c r="I46" s="17"/>
      <c r="J46" s="17">
        <v>1637108.91</v>
      </c>
      <c r="K46" s="13" t="s">
        <v>11</v>
      </c>
      <c r="L46" s="13"/>
      <c r="M46" s="567">
        <v>43301.440567129626</v>
      </c>
    </row>
    <row r="47" ht="15.75" customHeight="1">
      <c r="A47" s="22"/>
      <c r="B47" s="568">
        <v>43301.0</v>
      </c>
      <c r="C47" s="22">
        <v>20001.0</v>
      </c>
      <c r="D47" s="22">
        <v>1.0</v>
      </c>
      <c r="E47" s="22" t="s">
        <v>950</v>
      </c>
      <c r="F47" s="22" t="s">
        <v>938</v>
      </c>
      <c r="G47" s="20">
        <v>5433.36</v>
      </c>
      <c r="H47" s="22" t="s">
        <v>11</v>
      </c>
      <c r="I47" s="20"/>
      <c r="J47" s="20">
        <v>1642542.27</v>
      </c>
      <c r="K47" s="22" t="s">
        <v>11</v>
      </c>
      <c r="L47" s="22"/>
      <c r="M47" s="569">
        <v>43301.447847222225</v>
      </c>
    </row>
    <row r="48" ht="15.75" customHeight="1">
      <c r="A48" s="13"/>
      <c r="B48" s="566">
        <v>43301.0</v>
      </c>
      <c r="C48" s="13">
        <v>20001.0</v>
      </c>
      <c r="D48" s="13">
        <v>1.0</v>
      </c>
      <c r="E48" s="13" t="s">
        <v>951</v>
      </c>
      <c r="F48" s="13" t="s">
        <v>952</v>
      </c>
      <c r="G48" s="17">
        <v>-5433.36</v>
      </c>
      <c r="H48" s="13" t="s">
        <v>40</v>
      </c>
      <c r="I48" s="17"/>
      <c r="J48" s="17">
        <v>1637108.91</v>
      </c>
      <c r="K48" s="13" t="s">
        <v>11</v>
      </c>
      <c r="L48" s="13"/>
      <c r="M48" s="567">
        <v>43301.481458333335</v>
      </c>
    </row>
    <row r="49" ht="15.75" customHeight="1">
      <c r="A49" s="22"/>
      <c r="B49" s="568">
        <v>43301.0</v>
      </c>
      <c r="C49" s="22">
        <v>20001.0</v>
      </c>
      <c r="D49" s="22">
        <v>1.0</v>
      </c>
      <c r="E49" s="22" t="s">
        <v>953</v>
      </c>
      <c r="F49" s="22" t="s">
        <v>938</v>
      </c>
      <c r="G49" s="20">
        <v>5433.46</v>
      </c>
      <c r="H49" s="22" t="s">
        <v>11</v>
      </c>
      <c r="I49" s="20"/>
      <c r="J49" s="20">
        <v>1642542.37</v>
      </c>
      <c r="K49" s="22" t="s">
        <v>11</v>
      </c>
      <c r="L49" s="22" t="s">
        <v>942</v>
      </c>
      <c r="M49" s="569">
        <v>43301.48541666667</v>
      </c>
    </row>
    <row r="50" ht="15.75" customHeight="1">
      <c r="A50" s="13"/>
      <c r="B50" s="566">
        <v>43332.0</v>
      </c>
      <c r="C50" s="13">
        <v>20001.0</v>
      </c>
      <c r="D50" s="13">
        <v>1.0</v>
      </c>
      <c r="E50" s="13" t="s">
        <v>954</v>
      </c>
      <c r="F50" s="13" t="s">
        <v>938</v>
      </c>
      <c r="G50" s="17">
        <v>215321.75</v>
      </c>
      <c r="H50" s="13" t="s">
        <v>11</v>
      </c>
      <c r="I50" s="17"/>
      <c r="J50" s="17">
        <v>1857864.12</v>
      </c>
      <c r="K50" s="13" t="s">
        <v>11</v>
      </c>
      <c r="L50" s="13"/>
      <c r="M50" s="567">
        <v>43332.587592592594</v>
      </c>
    </row>
    <row r="51" ht="15.75" customHeight="1">
      <c r="A51" s="22"/>
      <c r="B51" s="568">
        <v>43332.0</v>
      </c>
      <c r="C51" s="22">
        <v>20001.0</v>
      </c>
      <c r="D51" s="22">
        <v>1.0</v>
      </c>
      <c r="E51" s="22" t="s">
        <v>955</v>
      </c>
      <c r="F51" s="22" t="s">
        <v>938</v>
      </c>
      <c r="G51" s="20">
        <v>33470.29</v>
      </c>
      <c r="H51" s="22" t="s">
        <v>11</v>
      </c>
      <c r="I51" s="20"/>
      <c r="J51" s="20">
        <v>1891334.41</v>
      </c>
      <c r="K51" s="22" t="s">
        <v>11</v>
      </c>
      <c r="L51" s="22"/>
      <c r="M51" s="569">
        <v>43333.35020833334</v>
      </c>
    </row>
    <row r="52" ht="15.75" customHeight="1">
      <c r="A52" s="13"/>
      <c r="B52" s="566">
        <v>43332.0</v>
      </c>
      <c r="C52" s="13">
        <v>20001.0</v>
      </c>
      <c r="D52" s="13">
        <v>1.0</v>
      </c>
      <c r="E52" s="13" t="s">
        <v>956</v>
      </c>
      <c r="F52" s="13" t="s">
        <v>938</v>
      </c>
      <c r="G52" s="17">
        <v>7632.77</v>
      </c>
      <c r="H52" s="13" t="s">
        <v>11</v>
      </c>
      <c r="I52" s="17"/>
      <c r="J52" s="17">
        <v>1898967.18</v>
      </c>
      <c r="K52" s="13" t="s">
        <v>11</v>
      </c>
      <c r="L52" s="13"/>
      <c r="M52" s="567">
        <v>43333.369375</v>
      </c>
    </row>
    <row r="53" ht="15.75" customHeight="1">
      <c r="A53" s="22"/>
      <c r="B53" s="568">
        <v>43332.0</v>
      </c>
      <c r="C53" s="22">
        <v>20001.0</v>
      </c>
      <c r="D53" s="22">
        <v>1.0</v>
      </c>
      <c r="E53" s="22" t="s">
        <v>957</v>
      </c>
      <c r="F53" s="22" t="s">
        <v>938</v>
      </c>
      <c r="G53" s="20">
        <v>5433.46</v>
      </c>
      <c r="H53" s="22" t="s">
        <v>11</v>
      </c>
      <c r="I53" s="20"/>
      <c r="J53" s="20">
        <v>1904400.64</v>
      </c>
      <c r="K53" s="22" t="s">
        <v>11</v>
      </c>
      <c r="L53" s="22" t="s">
        <v>942</v>
      </c>
      <c r="M53" s="569">
        <v>43333.376076388886</v>
      </c>
    </row>
    <row r="54" ht="15.75" customHeight="1">
      <c r="A54" s="13"/>
      <c r="B54" s="566">
        <v>43362.0</v>
      </c>
      <c r="C54" s="13">
        <v>20001.0</v>
      </c>
      <c r="D54" s="13">
        <v>1.0</v>
      </c>
      <c r="E54" s="13" t="s">
        <v>958</v>
      </c>
      <c r="F54" s="13" t="s">
        <v>938</v>
      </c>
      <c r="G54" s="17">
        <v>217612.06</v>
      </c>
      <c r="H54" s="13" t="s">
        <v>11</v>
      </c>
      <c r="I54" s="17"/>
      <c r="J54" s="17">
        <v>2122012.7</v>
      </c>
      <c r="K54" s="13" t="s">
        <v>11</v>
      </c>
      <c r="L54" s="13"/>
      <c r="M54" s="567">
        <v>43362.460706018515</v>
      </c>
    </row>
    <row r="55" ht="15.75" customHeight="1">
      <c r="A55" s="22"/>
      <c r="B55" s="568">
        <v>43362.0</v>
      </c>
      <c r="C55" s="22">
        <v>20001.0</v>
      </c>
      <c r="D55" s="22">
        <v>1.0</v>
      </c>
      <c r="E55" s="22" t="s">
        <v>959</v>
      </c>
      <c r="F55" s="22" t="s">
        <v>938</v>
      </c>
      <c r="G55" s="20">
        <v>32373.34</v>
      </c>
      <c r="H55" s="22" t="s">
        <v>11</v>
      </c>
      <c r="I55" s="20"/>
      <c r="J55" s="20">
        <v>2154386.04</v>
      </c>
      <c r="K55" s="22" t="s">
        <v>11</v>
      </c>
      <c r="L55" s="22"/>
      <c r="M55" s="569">
        <v>43362.471597222226</v>
      </c>
    </row>
    <row r="56" ht="15.75" customHeight="1">
      <c r="A56" s="13"/>
      <c r="B56" s="566">
        <v>43362.0</v>
      </c>
      <c r="C56" s="13">
        <v>20001.0</v>
      </c>
      <c r="D56" s="13">
        <v>1.0</v>
      </c>
      <c r="E56" s="13" t="s">
        <v>960</v>
      </c>
      <c r="F56" s="13" t="s">
        <v>938</v>
      </c>
      <c r="G56" s="17">
        <v>7632.77</v>
      </c>
      <c r="H56" s="13" t="s">
        <v>11</v>
      </c>
      <c r="I56" s="17"/>
      <c r="J56" s="17">
        <v>2162018.81</v>
      </c>
      <c r="K56" s="13" t="s">
        <v>11</v>
      </c>
      <c r="L56" s="13"/>
      <c r="M56" s="567">
        <v>43362.49239583333</v>
      </c>
    </row>
    <row r="57" ht="15.75" customHeight="1">
      <c r="A57" s="22"/>
      <c r="B57" s="568">
        <v>43362.0</v>
      </c>
      <c r="C57" s="22">
        <v>20001.0</v>
      </c>
      <c r="D57" s="22">
        <v>1.0</v>
      </c>
      <c r="E57" s="22" t="s">
        <v>961</v>
      </c>
      <c r="F57" s="22" t="s">
        <v>938</v>
      </c>
      <c r="G57" s="20">
        <v>5433.46</v>
      </c>
      <c r="H57" s="22" t="s">
        <v>11</v>
      </c>
      <c r="I57" s="20"/>
      <c r="J57" s="20">
        <v>2167452.27</v>
      </c>
      <c r="K57" s="22" t="s">
        <v>11</v>
      </c>
      <c r="L57" s="22" t="s">
        <v>942</v>
      </c>
      <c r="M57" s="569">
        <v>43362.500613425924</v>
      </c>
    </row>
    <row r="58" ht="15.75" customHeight="1">
      <c r="A58" s="13"/>
      <c r="B58" s="570">
        <v>43391.0</v>
      </c>
      <c r="C58" s="13">
        <v>20001.0</v>
      </c>
      <c r="D58" s="13">
        <v>1.0</v>
      </c>
      <c r="E58" s="13" t="s">
        <v>962</v>
      </c>
      <c r="F58" s="13" t="s">
        <v>938</v>
      </c>
      <c r="G58" s="17">
        <v>222137.0</v>
      </c>
      <c r="H58" s="13" t="s">
        <v>11</v>
      </c>
      <c r="I58" s="17"/>
      <c r="J58" s="17">
        <v>2389589.27</v>
      </c>
      <c r="K58" s="13" t="s">
        <v>11</v>
      </c>
      <c r="L58" s="13"/>
      <c r="M58" s="571">
        <v>43391.45793981481</v>
      </c>
    </row>
    <row r="59" ht="15.75" customHeight="1">
      <c r="A59" s="22"/>
      <c r="B59" s="572">
        <v>43391.0</v>
      </c>
      <c r="C59" s="22">
        <v>20001.0</v>
      </c>
      <c r="D59" s="22">
        <v>1.0</v>
      </c>
      <c r="E59" s="22" t="s">
        <v>963</v>
      </c>
      <c r="F59" s="22" t="s">
        <v>938</v>
      </c>
      <c r="G59" s="20">
        <v>32373.34</v>
      </c>
      <c r="H59" s="22" t="s">
        <v>11</v>
      </c>
      <c r="I59" s="20"/>
      <c r="J59" s="20">
        <v>2421962.61</v>
      </c>
      <c r="K59" s="22" t="s">
        <v>11</v>
      </c>
      <c r="L59" s="22"/>
      <c r="M59" s="573">
        <v>43391.467210648145</v>
      </c>
    </row>
    <row r="60" ht="15.75" customHeight="1">
      <c r="A60" s="13"/>
      <c r="B60" s="570">
        <v>43391.0</v>
      </c>
      <c r="C60" s="13">
        <v>20001.0</v>
      </c>
      <c r="D60" s="13">
        <v>1.0</v>
      </c>
      <c r="E60" s="13" t="s">
        <v>964</v>
      </c>
      <c r="F60" s="13" t="s">
        <v>938</v>
      </c>
      <c r="G60" s="17">
        <v>5433.46</v>
      </c>
      <c r="H60" s="13" t="s">
        <v>11</v>
      </c>
      <c r="I60" s="17"/>
      <c r="J60" s="17">
        <v>2427396.07</v>
      </c>
      <c r="K60" s="13" t="s">
        <v>11</v>
      </c>
      <c r="L60" s="13"/>
      <c r="M60" s="571">
        <v>43391.48175925926</v>
      </c>
    </row>
    <row r="61" ht="15.75" customHeight="1">
      <c r="A61" s="22"/>
      <c r="B61" s="572">
        <v>43391.0</v>
      </c>
      <c r="C61" s="22">
        <v>20001.0</v>
      </c>
      <c r="D61" s="22">
        <v>1.0</v>
      </c>
      <c r="E61" s="22" t="s">
        <v>965</v>
      </c>
      <c r="F61" s="22" t="s">
        <v>938</v>
      </c>
      <c r="G61" s="20">
        <v>7632.77</v>
      </c>
      <c r="H61" s="22" t="s">
        <v>11</v>
      </c>
      <c r="I61" s="20"/>
      <c r="J61" s="20">
        <v>2435028.84</v>
      </c>
      <c r="K61" s="22" t="s">
        <v>11</v>
      </c>
      <c r="L61" s="22" t="s">
        <v>942</v>
      </c>
      <c r="M61" s="573">
        <v>43391.52149305555</v>
      </c>
    </row>
    <row r="62" ht="15.75" customHeight="1">
      <c r="A62" s="13"/>
      <c r="B62" s="570">
        <v>43424.0</v>
      </c>
      <c r="C62" s="13">
        <v>20001.0</v>
      </c>
      <c r="D62" s="13">
        <v>1.0</v>
      </c>
      <c r="E62" s="13" t="s">
        <v>966</v>
      </c>
      <c r="F62" s="13" t="s">
        <v>938</v>
      </c>
      <c r="G62" s="17">
        <v>221862.77</v>
      </c>
      <c r="H62" s="13" t="s">
        <v>11</v>
      </c>
      <c r="I62" s="17"/>
      <c r="J62" s="17">
        <v>2656891.61</v>
      </c>
      <c r="K62" s="13" t="s">
        <v>11</v>
      </c>
      <c r="L62" s="13"/>
      <c r="M62" s="571">
        <v>43424.58660879629</v>
      </c>
    </row>
    <row r="63" ht="15.75" customHeight="1">
      <c r="A63" s="22"/>
      <c r="B63" s="572">
        <v>43424.0</v>
      </c>
      <c r="C63" s="22">
        <v>20001.0</v>
      </c>
      <c r="D63" s="22">
        <v>1.0</v>
      </c>
      <c r="E63" s="22" t="s">
        <v>967</v>
      </c>
      <c r="F63" s="22" t="s">
        <v>938</v>
      </c>
      <c r="G63" s="20">
        <v>32373.34</v>
      </c>
      <c r="H63" s="22" t="s">
        <v>11</v>
      </c>
      <c r="I63" s="20"/>
      <c r="J63" s="20">
        <v>2689264.95</v>
      </c>
      <c r="K63" s="22" t="s">
        <v>11</v>
      </c>
      <c r="L63" s="22"/>
      <c r="M63" s="573">
        <v>43424.6249537037</v>
      </c>
    </row>
    <row r="64" ht="15.75" customHeight="1">
      <c r="A64" s="13"/>
      <c r="B64" s="570">
        <v>43424.0</v>
      </c>
      <c r="C64" s="13">
        <v>20001.0</v>
      </c>
      <c r="D64" s="13">
        <v>1.0</v>
      </c>
      <c r="E64" s="13" t="s">
        <v>968</v>
      </c>
      <c r="F64" s="13" t="s">
        <v>938</v>
      </c>
      <c r="G64" s="17">
        <v>5433.46</v>
      </c>
      <c r="H64" s="13" t="s">
        <v>11</v>
      </c>
      <c r="I64" s="17"/>
      <c r="J64" s="17">
        <v>2694698.41</v>
      </c>
      <c r="K64" s="13" t="s">
        <v>11</v>
      </c>
      <c r="L64" s="13" t="s">
        <v>942</v>
      </c>
      <c r="M64" s="571">
        <v>43425.352314814816</v>
      </c>
    </row>
    <row r="65" ht="15.75" customHeight="1">
      <c r="A65" s="22"/>
      <c r="B65" s="572">
        <v>43425.0</v>
      </c>
      <c r="C65" s="22">
        <v>20001.0</v>
      </c>
      <c r="D65" s="22">
        <v>1.0</v>
      </c>
      <c r="E65" s="22" t="s">
        <v>969</v>
      </c>
      <c r="F65" s="22" t="s">
        <v>938</v>
      </c>
      <c r="G65" s="20">
        <v>7632.77</v>
      </c>
      <c r="H65" s="22" t="s">
        <v>11</v>
      </c>
      <c r="I65" s="20"/>
      <c r="J65" s="20">
        <v>2702331.18</v>
      </c>
      <c r="K65" s="22" t="s">
        <v>11</v>
      </c>
      <c r="L65" s="22" t="s">
        <v>942</v>
      </c>
      <c r="M65" s="573">
        <v>43425.439791666664</v>
      </c>
    </row>
    <row r="66" ht="15.75" customHeight="1">
      <c r="A66" s="13"/>
      <c r="B66" s="570">
        <v>43452.0</v>
      </c>
      <c r="C66" s="13">
        <v>20001.0</v>
      </c>
      <c r="D66" s="13">
        <v>1.0</v>
      </c>
      <c r="E66" s="13" t="s">
        <v>970</v>
      </c>
      <c r="F66" s="13" t="s">
        <v>938</v>
      </c>
      <c r="G66" s="17">
        <v>222395.65</v>
      </c>
      <c r="H66" s="13" t="s">
        <v>11</v>
      </c>
      <c r="I66" s="17"/>
      <c r="J66" s="17">
        <v>2924726.83</v>
      </c>
      <c r="K66" s="13" t="s">
        <v>11</v>
      </c>
      <c r="L66" s="13"/>
      <c r="M66" s="571">
        <v>43452.34024305556</v>
      </c>
    </row>
    <row r="67" ht="15.75" customHeight="1">
      <c r="A67" s="22"/>
      <c r="B67" s="572">
        <v>43452.0</v>
      </c>
      <c r="C67" s="22">
        <v>20001.0</v>
      </c>
      <c r="D67" s="22">
        <v>1.0</v>
      </c>
      <c r="E67" s="22" t="s">
        <v>971</v>
      </c>
      <c r="F67" s="22" t="s">
        <v>938</v>
      </c>
      <c r="G67" s="20">
        <v>28670.21</v>
      </c>
      <c r="H67" s="22" t="s">
        <v>11</v>
      </c>
      <c r="I67" s="20"/>
      <c r="J67" s="20">
        <v>2953397.04</v>
      </c>
      <c r="K67" s="22" t="s">
        <v>11</v>
      </c>
      <c r="L67" s="22"/>
      <c r="M67" s="573">
        <v>43452.38240740741</v>
      </c>
    </row>
    <row r="68" ht="15.75" customHeight="1">
      <c r="A68" s="13"/>
      <c r="B68" s="570">
        <v>43452.0</v>
      </c>
      <c r="C68" s="13">
        <v>20001.0</v>
      </c>
      <c r="D68" s="13">
        <v>1.0</v>
      </c>
      <c r="E68" s="13" t="s">
        <v>972</v>
      </c>
      <c r="F68" s="13" t="s">
        <v>938</v>
      </c>
      <c r="G68" s="17">
        <v>7914.3</v>
      </c>
      <c r="H68" s="13" t="s">
        <v>11</v>
      </c>
      <c r="I68" s="17"/>
      <c r="J68" s="17">
        <v>2961311.34</v>
      </c>
      <c r="K68" s="13" t="s">
        <v>11</v>
      </c>
      <c r="L68" s="13"/>
      <c r="M68" s="571">
        <v>43452.53177083333</v>
      </c>
    </row>
    <row r="69" ht="15.75" customHeight="1">
      <c r="A69" s="22"/>
      <c r="B69" s="572">
        <v>43452.0</v>
      </c>
      <c r="C69" s="22">
        <v>20001.0</v>
      </c>
      <c r="D69" s="22">
        <v>1.0</v>
      </c>
      <c r="E69" s="22" t="s">
        <v>973</v>
      </c>
      <c r="F69" s="22" t="s">
        <v>938</v>
      </c>
      <c r="G69" s="20">
        <v>3118.81</v>
      </c>
      <c r="H69" s="22" t="s">
        <v>11</v>
      </c>
      <c r="I69" s="20"/>
      <c r="J69" s="20">
        <v>2964430.15</v>
      </c>
      <c r="K69" s="22" t="s">
        <v>11</v>
      </c>
      <c r="L69" s="22"/>
      <c r="M69" s="573">
        <v>43452.54340277778</v>
      </c>
    </row>
    <row r="70" ht="15.75" customHeight="1">
      <c r="A70" s="13"/>
      <c r="B70" s="570">
        <v>43452.0</v>
      </c>
      <c r="C70" s="13">
        <v>20001.0</v>
      </c>
      <c r="D70" s="13">
        <v>1.0</v>
      </c>
      <c r="E70" s="13" t="s">
        <v>974</v>
      </c>
      <c r="F70" s="13" t="s">
        <v>938</v>
      </c>
      <c r="G70" s="17">
        <v>28670.21</v>
      </c>
      <c r="H70" s="13" t="s">
        <v>11</v>
      </c>
      <c r="I70" s="17"/>
      <c r="J70" s="17">
        <v>2993100.36</v>
      </c>
      <c r="K70" s="13" t="s">
        <v>11</v>
      </c>
      <c r="L70" s="13"/>
      <c r="M70" s="571">
        <v>43452.805497685185</v>
      </c>
    </row>
    <row r="71" ht="15.75" customHeight="1">
      <c r="A71" s="22"/>
      <c r="B71" s="572">
        <v>43452.0</v>
      </c>
      <c r="C71" s="22">
        <v>20001.0</v>
      </c>
      <c r="D71" s="22">
        <v>1.0</v>
      </c>
      <c r="E71" s="22" t="s">
        <v>975</v>
      </c>
      <c r="F71" s="22" t="s">
        <v>938</v>
      </c>
      <c r="G71" s="20">
        <v>7914.3</v>
      </c>
      <c r="H71" s="22" t="s">
        <v>11</v>
      </c>
      <c r="I71" s="20"/>
      <c r="J71" s="20">
        <v>3001014.66</v>
      </c>
      <c r="K71" s="22" t="s">
        <v>11</v>
      </c>
      <c r="L71" s="22"/>
      <c r="M71" s="573">
        <v>43453.394421296296</v>
      </c>
    </row>
    <row r="72" ht="15.75" customHeight="1">
      <c r="A72" s="13"/>
      <c r="B72" s="570">
        <v>43452.0</v>
      </c>
      <c r="C72" s="13">
        <v>20001.0</v>
      </c>
      <c r="D72" s="13">
        <v>1.0</v>
      </c>
      <c r="E72" s="13" t="s">
        <v>976</v>
      </c>
      <c r="F72" s="13" t="s">
        <v>938</v>
      </c>
      <c r="G72" s="17">
        <v>3118.81</v>
      </c>
      <c r="H72" s="13" t="s">
        <v>11</v>
      </c>
      <c r="I72" s="17"/>
      <c r="J72" s="17">
        <v>3004133.47</v>
      </c>
      <c r="K72" s="13" t="s">
        <v>11</v>
      </c>
      <c r="L72" s="13" t="s">
        <v>942</v>
      </c>
      <c r="M72" s="571">
        <v>43453.43885416666</v>
      </c>
    </row>
    <row r="73" ht="15.75" customHeight="1">
      <c r="A73" s="22"/>
      <c r="B73" s="572">
        <v>43453.0</v>
      </c>
      <c r="C73" s="22">
        <v>20001.0</v>
      </c>
      <c r="D73" s="22">
        <v>1.0</v>
      </c>
      <c r="E73" s="22" t="s">
        <v>977</v>
      </c>
      <c r="F73" s="22" t="s">
        <v>938</v>
      </c>
      <c r="G73" s="20">
        <v>220750.22</v>
      </c>
      <c r="H73" s="22" t="s">
        <v>11</v>
      </c>
      <c r="I73" s="20"/>
      <c r="J73" s="20">
        <v>3224883.69</v>
      </c>
      <c r="K73" s="22" t="s">
        <v>11</v>
      </c>
      <c r="L73" s="22" t="s">
        <v>942</v>
      </c>
      <c r="M73" s="573">
        <v>43453.516863425924</v>
      </c>
    </row>
    <row r="74" ht="15.75" customHeight="1">
      <c r="G74" s="187">
        <f>SUM(G36:G73)</f>
        <v>2317590.28</v>
      </c>
    </row>
    <row r="75" ht="15.75" customHeight="1">
      <c r="B75" s="566">
        <v>43241.0</v>
      </c>
      <c r="C75" s="13">
        <v>20001.0</v>
      </c>
      <c r="D75" s="13">
        <v>1.0</v>
      </c>
      <c r="E75" s="13" t="s">
        <v>937</v>
      </c>
      <c r="F75" s="13" t="s">
        <v>938</v>
      </c>
      <c r="G75" s="17">
        <v>278914.22</v>
      </c>
      <c r="H75" s="13" t="s">
        <v>11</v>
      </c>
      <c r="I75" s="17">
        <f t="shared" ref="I75:I121" si="1">IF(H75="D",G75,G75*-1)</f>
        <v>278914.22</v>
      </c>
      <c r="J75" s="17">
        <v>3686909.26</v>
      </c>
      <c r="K75" s="13" t="s">
        <v>11</v>
      </c>
      <c r="L75" s="13"/>
      <c r="M75" s="567">
        <v>43241.37719907407</v>
      </c>
    </row>
    <row r="76" ht="15.75" customHeight="1">
      <c r="A76" s="22"/>
      <c r="B76" s="568">
        <v>43241.0</v>
      </c>
      <c r="C76" s="22">
        <v>20001.0</v>
      </c>
      <c r="D76" s="22">
        <v>1.0</v>
      </c>
      <c r="E76" s="22" t="s">
        <v>939</v>
      </c>
      <c r="F76" s="22" t="s">
        <v>938</v>
      </c>
      <c r="G76" s="20">
        <v>52368.71</v>
      </c>
      <c r="H76" s="22" t="s">
        <v>11</v>
      </c>
      <c r="I76" s="17">
        <f t="shared" si="1"/>
        <v>52368.71</v>
      </c>
      <c r="J76" s="20">
        <v>3739277.97</v>
      </c>
      <c r="K76" s="22" t="s">
        <v>11</v>
      </c>
      <c r="L76" s="22"/>
      <c r="M76" s="569">
        <v>43241.39408564815</v>
      </c>
    </row>
    <row r="77" ht="15.75" customHeight="1">
      <c r="A77" s="13"/>
      <c r="B77" s="566">
        <v>43241.0</v>
      </c>
      <c r="C77" s="13">
        <v>20001.0</v>
      </c>
      <c r="D77" s="13">
        <v>1.0</v>
      </c>
      <c r="E77" s="13" t="s">
        <v>940</v>
      </c>
      <c r="F77" s="13" t="s">
        <v>938</v>
      </c>
      <c r="G77" s="17">
        <v>14923.68</v>
      </c>
      <c r="H77" s="13" t="s">
        <v>11</v>
      </c>
      <c r="I77" s="17">
        <f t="shared" si="1"/>
        <v>14923.68</v>
      </c>
      <c r="J77" s="17">
        <v>3754201.65</v>
      </c>
      <c r="K77" s="13" t="s">
        <v>11</v>
      </c>
      <c r="L77" s="13"/>
      <c r="M77" s="567">
        <v>43241.40310185185</v>
      </c>
    </row>
    <row r="78" ht="15.75" customHeight="1">
      <c r="A78" s="22"/>
      <c r="B78" s="568">
        <v>43241.0</v>
      </c>
      <c r="C78" s="22">
        <v>20001.0</v>
      </c>
      <c r="D78" s="22">
        <v>1.0</v>
      </c>
      <c r="E78" s="22" t="s">
        <v>941</v>
      </c>
      <c r="F78" s="22" t="s">
        <v>938</v>
      </c>
      <c r="G78" s="23">
        <v>170.44</v>
      </c>
      <c r="H78" s="22" t="s">
        <v>11</v>
      </c>
      <c r="I78" s="17">
        <f t="shared" si="1"/>
        <v>170.44</v>
      </c>
      <c r="J78" s="20">
        <v>3754372.09</v>
      </c>
      <c r="K78" s="22" t="s">
        <v>11</v>
      </c>
      <c r="L78" s="22"/>
      <c r="M78" s="569">
        <v>43241.4093287037</v>
      </c>
    </row>
    <row r="79" ht="15.75" customHeight="1">
      <c r="A79" s="13"/>
      <c r="B79" s="566">
        <v>43241.0</v>
      </c>
      <c r="C79" s="13">
        <v>20001.0</v>
      </c>
      <c r="D79" s="13">
        <v>1.0</v>
      </c>
      <c r="E79" s="13" t="s">
        <v>978</v>
      </c>
      <c r="F79" s="13" t="s">
        <v>952</v>
      </c>
      <c r="G79" s="17">
        <v>10503.78</v>
      </c>
      <c r="H79" s="13" t="s">
        <v>40</v>
      </c>
      <c r="I79" s="17">
        <f t="shared" si="1"/>
        <v>-10503.78</v>
      </c>
      <c r="J79" s="17">
        <v>3743868.31</v>
      </c>
      <c r="K79" s="13" t="s">
        <v>11</v>
      </c>
      <c r="L79" s="13" t="s">
        <v>942</v>
      </c>
      <c r="M79" s="567">
        <v>43256.56799768518</v>
      </c>
    </row>
    <row r="80" ht="15.75" customHeight="1">
      <c r="A80" s="22"/>
      <c r="B80" s="568">
        <v>43271.0</v>
      </c>
      <c r="C80" s="22">
        <v>20001.0</v>
      </c>
      <c r="D80" s="22">
        <v>1.0</v>
      </c>
      <c r="E80" s="22" t="s">
        <v>943</v>
      </c>
      <c r="F80" s="22" t="s">
        <v>938</v>
      </c>
      <c r="G80" s="20">
        <v>215751.6</v>
      </c>
      <c r="H80" s="22" t="s">
        <v>11</v>
      </c>
      <c r="I80" s="17">
        <f t="shared" si="1"/>
        <v>215751.6</v>
      </c>
      <c r="J80" s="20">
        <v>3959619.91</v>
      </c>
      <c r="K80" s="22" t="s">
        <v>11</v>
      </c>
      <c r="L80" s="22"/>
      <c r="M80" s="569">
        <v>43271.60457175926</v>
      </c>
    </row>
    <row r="81" ht="15.75" customHeight="1">
      <c r="A81" s="13"/>
      <c r="B81" s="566">
        <v>43271.0</v>
      </c>
      <c r="C81" s="13">
        <v>20001.0</v>
      </c>
      <c r="D81" s="13">
        <v>1.0</v>
      </c>
      <c r="E81" s="13" t="s">
        <v>979</v>
      </c>
      <c r="F81" s="13" t="s">
        <v>952</v>
      </c>
      <c r="G81" s="17">
        <v>6378.71</v>
      </c>
      <c r="H81" s="13" t="s">
        <v>40</v>
      </c>
      <c r="I81" s="17">
        <f t="shared" si="1"/>
        <v>-6378.71</v>
      </c>
      <c r="J81" s="17">
        <v>3953241.2</v>
      </c>
      <c r="K81" s="13" t="s">
        <v>11</v>
      </c>
      <c r="L81" s="13"/>
      <c r="M81" s="567">
        <v>43271.607824074075</v>
      </c>
    </row>
    <row r="82" ht="15.75" customHeight="1">
      <c r="A82" s="22"/>
      <c r="B82" s="568">
        <v>43271.0</v>
      </c>
      <c r="C82" s="22">
        <v>20001.0</v>
      </c>
      <c r="D82" s="22">
        <v>1.0</v>
      </c>
      <c r="E82" s="22" t="s">
        <v>944</v>
      </c>
      <c r="F82" s="22" t="s">
        <v>938</v>
      </c>
      <c r="G82" s="20">
        <v>14620.36</v>
      </c>
      <c r="H82" s="22" t="s">
        <v>11</v>
      </c>
      <c r="I82" s="17">
        <f t="shared" si="1"/>
        <v>14620.36</v>
      </c>
      <c r="J82" s="20">
        <v>3967861.56</v>
      </c>
      <c r="K82" s="22" t="s">
        <v>11</v>
      </c>
      <c r="L82" s="22"/>
      <c r="M82" s="569">
        <v>43272.362546296295</v>
      </c>
    </row>
    <row r="83" ht="15.75" customHeight="1">
      <c r="A83" s="13"/>
      <c r="B83" s="566">
        <v>43271.0</v>
      </c>
      <c r="C83" s="13">
        <v>20001.0</v>
      </c>
      <c r="D83" s="13">
        <v>1.0</v>
      </c>
      <c r="E83" s="13" t="s">
        <v>980</v>
      </c>
      <c r="F83" s="13" t="s">
        <v>952</v>
      </c>
      <c r="G83" s="17">
        <v>4766.65</v>
      </c>
      <c r="H83" s="13" t="s">
        <v>40</v>
      </c>
      <c r="I83" s="17">
        <f t="shared" si="1"/>
        <v>-4766.65</v>
      </c>
      <c r="J83" s="17">
        <v>3963094.91</v>
      </c>
      <c r="K83" s="13" t="s">
        <v>11</v>
      </c>
      <c r="L83" s="13"/>
      <c r="M83" s="567">
        <v>43272.367581018516</v>
      </c>
    </row>
    <row r="84" ht="15.75" customHeight="1">
      <c r="A84" s="22"/>
      <c r="B84" s="568">
        <v>43271.0</v>
      </c>
      <c r="C84" s="22">
        <v>20001.0</v>
      </c>
      <c r="D84" s="22">
        <v>1.0</v>
      </c>
      <c r="E84" s="22" t="s">
        <v>945</v>
      </c>
      <c r="F84" s="22" t="s">
        <v>938</v>
      </c>
      <c r="G84" s="20">
        <v>36225.05</v>
      </c>
      <c r="H84" s="22" t="s">
        <v>11</v>
      </c>
      <c r="I84" s="17">
        <f t="shared" si="1"/>
        <v>36225.05</v>
      </c>
      <c r="J84" s="20">
        <v>3999319.96</v>
      </c>
      <c r="K84" s="22" t="s">
        <v>11</v>
      </c>
      <c r="L84" s="22"/>
      <c r="M84" s="569">
        <v>43272.3705787037</v>
      </c>
    </row>
    <row r="85" ht="15.75" customHeight="1">
      <c r="A85" s="13"/>
      <c r="B85" s="566">
        <v>43271.0</v>
      </c>
      <c r="C85" s="13">
        <v>20001.0</v>
      </c>
      <c r="D85" s="13">
        <v>1.0</v>
      </c>
      <c r="E85" s="13" t="s">
        <v>981</v>
      </c>
      <c r="F85" s="13" t="s">
        <v>952</v>
      </c>
      <c r="G85" s="17">
        <v>10157.03</v>
      </c>
      <c r="H85" s="13" t="s">
        <v>40</v>
      </c>
      <c r="I85" s="17">
        <f t="shared" si="1"/>
        <v>-10157.03</v>
      </c>
      <c r="J85" s="17">
        <v>3989162.93</v>
      </c>
      <c r="K85" s="13" t="s">
        <v>11</v>
      </c>
      <c r="L85" s="13"/>
      <c r="M85" s="567">
        <v>43272.408217592594</v>
      </c>
    </row>
    <row r="86" ht="15.75" customHeight="1">
      <c r="A86" s="22"/>
      <c r="B86" s="568">
        <v>43271.0</v>
      </c>
      <c r="C86" s="22">
        <v>20001.0</v>
      </c>
      <c r="D86" s="22">
        <v>1.0</v>
      </c>
      <c r="E86" s="22" t="s">
        <v>946</v>
      </c>
      <c r="F86" s="22" t="s">
        <v>938</v>
      </c>
      <c r="G86" s="20">
        <v>34289.83</v>
      </c>
      <c r="H86" s="22" t="s">
        <v>11</v>
      </c>
      <c r="I86" s="17">
        <f t="shared" si="1"/>
        <v>34289.83</v>
      </c>
      <c r="J86" s="20">
        <v>4023452.76</v>
      </c>
      <c r="K86" s="22" t="s">
        <v>11</v>
      </c>
      <c r="L86" s="22" t="s">
        <v>942</v>
      </c>
      <c r="M86" s="569">
        <v>43272.41175925926</v>
      </c>
    </row>
    <row r="87" ht="15.75" customHeight="1">
      <c r="A87" s="13"/>
      <c r="B87" s="566">
        <v>43301.0</v>
      </c>
      <c r="C87" s="13">
        <v>20001.0</v>
      </c>
      <c r="D87" s="13">
        <v>1.0</v>
      </c>
      <c r="E87" s="13" t="s">
        <v>947</v>
      </c>
      <c r="F87" s="13" t="s">
        <v>938</v>
      </c>
      <c r="G87" s="17">
        <v>704295.19</v>
      </c>
      <c r="H87" s="13" t="s">
        <v>11</v>
      </c>
      <c r="I87" s="17">
        <f t="shared" si="1"/>
        <v>704295.19</v>
      </c>
      <c r="J87" s="17">
        <v>4727747.95</v>
      </c>
      <c r="K87" s="13" t="s">
        <v>11</v>
      </c>
      <c r="L87" s="13"/>
      <c r="M87" s="567">
        <v>43301.40913194444</v>
      </c>
    </row>
    <row r="88" ht="15.75" customHeight="1">
      <c r="A88" s="22"/>
      <c r="B88" s="568">
        <v>43301.0</v>
      </c>
      <c r="C88" s="22">
        <v>20001.0</v>
      </c>
      <c r="D88" s="22">
        <v>1.0</v>
      </c>
      <c r="E88" s="22" t="s">
        <v>948</v>
      </c>
      <c r="F88" s="22" t="s">
        <v>938</v>
      </c>
      <c r="G88" s="20">
        <v>117367.89</v>
      </c>
      <c r="H88" s="22" t="s">
        <v>11</v>
      </c>
      <c r="I88" s="17">
        <f t="shared" si="1"/>
        <v>117367.89</v>
      </c>
      <c r="J88" s="20">
        <v>4845115.84</v>
      </c>
      <c r="K88" s="22" t="s">
        <v>11</v>
      </c>
      <c r="L88" s="22"/>
      <c r="M88" s="569">
        <v>43301.428148148145</v>
      </c>
    </row>
    <row r="89" ht="15.75" customHeight="1">
      <c r="A89" s="13"/>
      <c r="B89" s="566">
        <v>43301.0</v>
      </c>
      <c r="C89" s="13">
        <v>20001.0</v>
      </c>
      <c r="D89" s="13">
        <v>1.0</v>
      </c>
      <c r="E89" s="13" t="s">
        <v>949</v>
      </c>
      <c r="F89" s="13" t="s">
        <v>938</v>
      </c>
      <c r="G89" s="17">
        <v>40706.07</v>
      </c>
      <c r="H89" s="13" t="s">
        <v>11</v>
      </c>
      <c r="I89" s="17">
        <f t="shared" si="1"/>
        <v>40706.07</v>
      </c>
      <c r="J89" s="17">
        <v>4885821.91</v>
      </c>
      <c r="K89" s="13" t="s">
        <v>11</v>
      </c>
      <c r="L89" s="13"/>
      <c r="M89" s="567">
        <v>43301.440567129626</v>
      </c>
    </row>
    <row r="90" ht="15.75" customHeight="1">
      <c r="A90" s="22"/>
      <c r="B90" s="568">
        <v>43301.0</v>
      </c>
      <c r="C90" s="22">
        <v>20001.0</v>
      </c>
      <c r="D90" s="22">
        <v>1.0</v>
      </c>
      <c r="E90" s="22" t="s">
        <v>950</v>
      </c>
      <c r="F90" s="22" t="s">
        <v>938</v>
      </c>
      <c r="G90" s="20">
        <v>10157.03</v>
      </c>
      <c r="H90" s="22" t="s">
        <v>11</v>
      </c>
      <c r="I90" s="17">
        <f t="shared" si="1"/>
        <v>10157.03</v>
      </c>
      <c r="J90" s="20">
        <v>4895978.94</v>
      </c>
      <c r="K90" s="22" t="s">
        <v>11</v>
      </c>
      <c r="L90" s="22"/>
      <c r="M90" s="569">
        <v>43301.447847222225</v>
      </c>
    </row>
    <row r="91" ht="15.75" customHeight="1">
      <c r="A91" s="13"/>
      <c r="B91" s="566">
        <v>43301.0</v>
      </c>
      <c r="C91" s="13">
        <v>20001.0</v>
      </c>
      <c r="D91" s="13">
        <v>1.0</v>
      </c>
      <c r="E91" s="13" t="s">
        <v>951</v>
      </c>
      <c r="F91" s="13" t="s">
        <v>952</v>
      </c>
      <c r="G91" s="17">
        <v>10157.03</v>
      </c>
      <c r="H91" s="13" t="s">
        <v>40</v>
      </c>
      <c r="I91" s="17">
        <f t="shared" si="1"/>
        <v>-10157.03</v>
      </c>
      <c r="J91" s="17">
        <v>4885821.91</v>
      </c>
      <c r="K91" s="13" t="s">
        <v>11</v>
      </c>
      <c r="L91" s="13"/>
      <c r="M91" s="567">
        <v>43301.481458333335</v>
      </c>
    </row>
    <row r="92" ht="15.75" customHeight="1">
      <c r="A92" s="22"/>
      <c r="B92" s="568">
        <v>43301.0</v>
      </c>
      <c r="C92" s="22">
        <v>20001.0</v>
      </c>
      <c r="D92" s="22">
        <v>1.0</v>
      </c>
      <c r="E92" s="22" t="s">
        <v>953</v>
      </c>
      <c r="F92" s="22" t="s">
        <v>938</v>
      </c>
      <c r="G92" s="20">
        <v>10157.03</v>
      </c>
      <c r="H92" s="22" t="s">
        <v>11</v>
      </c>
      <c r="I92" s="17">
        <f t="shared" si="1"/>
        <v>10157.03</v>
      </c>
      <c r="J92" s="20">
        <v>4895978.94</v>
      </c>
      <c r="K92" s="22" t="s">
        <v>11</v>
      </c>
      <c r="L92" s="22" t="s">
        <v>942</v>
      </c>
      <c r="M92" s="569">
        <v>43301.48541666667</v>
      </c>
    </row>
    <row r="93" ht="15.75" customHeight="1">
      <c r="A93" s="13"/>
      <c r="B93" s="566">
        <v>43312.0</v>
      </c>
      <c r="C93" s="13">
        <v>20001.0</v>
      </c>
      <c r="D93" s="13">
        <v>1.0</v>
      </c>
      <c r="E93" s="13" t="s">
        <v>982</v>
      </c>
      <c r="F93" s="13" t="s">
        <v>952</v>
      </c>
      <c r="G93" s="17">
        <v>10157.03</v>
      </c>
      <c r="H93" s="13" t="s">
        <v>40</v>
      </c>
      <c r="I93" s="17">
        <f t="shared" si="1"/>
        <v>-10157.03</v>
      </c>
      <c r="J93" s="17">
        <v>4885821.91</v>
      </c>
      <c r="K93" s="13" t="s">
        <v>11</v>
      </c>
      <c r="L93" s="13" t="s">
        <v>942</v>
      </c>
      <c r="M93" s="567">
        <v>43312.320763888885</v>
      </c>
    </row>
    <row r="94" ht="15.75" customHeight="1">
      <c r="A94" s="22"/>
      <c r="B94" s="568">
        <v>43332.0</v>
      </c>
      <c r="C94" s="22">
        <v>20001.0</v>
      </c>
      <c r="D94" s="22">
        <v>1.0</v>
      </c>
      <c r="E94" s="22" t="s">
        <v>954</v>
      </c>
      <c r="F94" s="22" t="s">
        <v>938</v>
      </c>
      <c r="G94" s="20">
        <v>160799.17</v>
      </c>
      <c r="H94" s="22" t="s">
        <v>11</v>
      </c>
      <c r="I94" s="17">
        <f t="shared" si="1"/>
        <v>160799.17</v>
      </c>
      <c r="J94" s="20">
        <v>5046621.08</v>
      </c>
      <c r="K94" s="22" t="s">
        <v>11</v>
      </c>
      <c r="L94" s="22"/>
      <c r="M94" s="569">
        <v>43332.587592592594</v>
      </c>
    </row>
    <row r="95" ht="15.75" customHeight="1">
      <c r="A95" s="13"/>
      <c r="B95" s="566">
        <v>43332.0</v>
      </c>
      <c r="C95" s="13">
        <v>20001.0</v>
      </c>
      <c r="D95" s="13">
        <v>1.0</v>
      </c>
      <c r="E95" s="13" t="s">
        <v>983</v>
      </c>
      <c r="F95" s="13" t="s">
        <v>952</v>
      </c>
      <c r="G95" s="17">
        <v>36688.48</v>
      </c>
      <c r="H95" s="13" t="s">
        <v>40</v>
      </c>
      <c r="I95" s="17">
        <f t="shared" si="1"/>
        <v>-36688.48</v>
      </c>
      <c r="J95" s="17">
        <v>5009932.6</v>
      </c>
      <c r="K95" s="13" t="s">
        <v>11</v>
      </c>
      <c r="L95" s="13"/>
      <c r="M95" s="567">
        <v>43332.59753472222</v>
      </c>
    </row>
    <row r="96" ht="15.75" customHeight="1">
      <c r="A96" s="22"/>
      <c r="B96" s="568">
        <v>43332.0</v>
      </c>
      <c r="C96" s="22">
        <v>20001.0</v>
      </c>
      <c r="D96" s="22">
        <v>1.0</v>
      </c>
      <c r="E96" s="22" t="s">
        <v>955</v>
      </c>
      <c r="F96" s="22" t="s">
        <v>938</v>
      </c>
      <c r="G96" s="20">
        <v>20314.06</v>
      </c>
      <c r="H96" s="22" t="s">
        <v>11</v>
      </c>
      <c r="I96" s="17">
        <f t="shared" si="1"/>
        <v>20314.06</v>
      </c>
      <c r="J96" s="20">
        <v>5030246.66</v>
      </c>
      <c r="K96" s="22" t="s">
        <v>11</v>
      </c>
      <c r="L96" s="22"/>
      <c r="M96" s="569">
        <v>43333.35020833334</v>
      </c>
    </row>
    <row r="97" ht="15.75" customHeight="1">
      <c r="A97" s="13"/>
      <c r="B97" s="566">
        <v>43332.0</v>
      </c>
      <c r="C97" s="13">
        <v>20001.0</v>
      </c>
      <c r="D97" s="13">
        <v>1.0</v>
      </c>
      <c r="E97" s="13" t="s">
        <v>984</v>
      </c>
      <c r="F97" s="13" t="s">
        <v>952</v>
      </c>
      <c r="G97" s="17">
        <v>4766.65</v>
      </c>
      <c r="H97" s="13" t="s">
        <v>40</v>
      </c>
      <c r="I97" s="17">
        <f t="shared" si="1"/>
        <v>-4766.65</v>
      </c>
      <c r="J97" s="17">
        <v>5025480.01</v>
      </c>
      <c r="K97" s="13" t="s">
        <v>11</v>
      </c>
      <c r="L97" s="13"/>
      <c r="M97" s="567">
        <v>43333.355625</v>
      </c>
    </row>
    <row r="98" ht="15.75" customHeight="1">
      <c r="A98" s="22"/>
      <c r="B98" s="568">
        <v>43332.0</v>
      </c>
      <c r="C98" s="22">
        <v>20001.0</v>
      </c>
      <c r="D98" s="22">
        <v>1.0</v>
      </c>
      <c r="E98" s="22" t="s">
        <v>956</v>
      </c>
      <c r="F98" s="22" t="s">
        <v>938</v>
      </c>
      <c r="G98" s="20">
        <v>16139.05</v>
      </c>
      <c r="H98" s="22" t="s">
        <v>11</v>
      </c>
      <c r="I98" s="17">
        <f t="shared" si="1"/>
        <v>16139.05</v>
      </c>
      <c r="J98" s="20">
        <v>5041619.06</v>
      </c>
      <c r="K98" s="22" t="s">
        <v>11</v>
      </c>
      <c r="L98" s="22" t="s">
        <v>942</v>
      </c>
      <c r="M98" s="569">
        <v>43333.369375</v>
      </c>
    </row>
    <row r="99" ht="15.75" customHeight="1">
      <c r="A99" s="13"/>
      <c r="B99" s="566">
        <v>43362.0</v>
      </c>
      <c r="C99" s="13">
        <v>20001.0</v>
      </c>
      <c r="D99" s="13">
        <v>1.0</v>
      </c>
      <c r="E99" s="13" t="s">
        <v>958</v>
      </c>
      <c r="F99" s="13" t="s">
        <v>938</v>
      </c>
      <c r="G99" s="17">
        <v>252913.31</v>
      </c>
      <c r="H99" s="13" t="s">
        <v>11</v>
      </c>
      <c r="I99" s="17">
        <f t="shared" si="1"/>
        <v>252913.31</v>
      </c>
      <c r="J99" s="17">
        <v>5294532.37</v>
      </c>
      <c r="K99" s="13" t="s">
        <v>11</v>
      </c>
      <c r="L99" s="13"/>
      <c r="M99" s="567">
        <v>43362.460706018515</v>
      </c>
    </row>
    <row r="100" ht="15.75" customHeight="1">
      <c r="A100" s="22"/>
      <c r="B100" s="568">
        <v>43362.0</v>
      </c>
      <c r="C100" s="22">
        <v>20001.0</v>
      </c>
      <c r="D100" s="22">
        <v>1.0</v>
      </c>
      <c r="E100" s="22" t="s">
        <v>985</v>
      </c>
      <c r="F100" s="22" t="s">
        <v>952</v>
      </c>
      <c r="G100" s="20">
        <v>9306.28</v>
      </c>
      <c r="H100" s="22" t="s">
        <v>40</v>
      </c>
      <c r="I100" s="17">
        <f t="shared" si="1"/>
        <v>-9306.28</v>
      </c>
      <c r="J100" s="20">
        <v>5285226.09</v>
      </c>
      <c r="K100" s="22" t="s">
        <v>11</v>
      </c>
      <c r="L100" s="22"/>
      <c r="M100" s="569">
        <v>43362.46648148148</v>
      </c>
    </row>
    <row r="101" ht="15.75" customHeight="1">
      <c r="A101" s="13"/>
      <c r="B101" s="566">
        <v>43362.0</v>
      </c>
      <c r="C101" s="13">
        <v>20001.0</v>
      </c>
      <c r="D101" s="13">
        <v>1.0</v>
      </c>
      <c r="E101" s="13" t="s">
        <v>959</v>
      </c>
      <c r="F101" s="13" t="s">
        <v>938</v>
      </c>
      <c r="G101" s="17">
        <v>59310.89</v>
      </c>
      <c r="H101" s="13" t="s">
        <v>11</v>
      </c>
      <c r="I101" s="17">
        <f t="shared" si="1"/>
        <v>59310.89</v>
      </c>
      <c r="J101" s="17">
        <v>5344536.98</v>
      </c>
      <c r="K101" s="13" t="s">
        <v>11</v>
      </c>
      <c r="L101" s="13"/>
      <c r="M101" s="567">
        <v>43362.471597222226</v>
      </c>
    </row>
    <row r="102" ht="15.75" customHeight="1">
      <c r="A102" s="22"/>
      <c r="B102" s="568">
        <v>43362.0</v>
      </c>
      <c r="C102" s="22">
        <v>20001.0</v>
      </c>
      <c r="D102" s="22">
        <v>1.0</v>
      </c>
      <c r="E102" s="22" t="s">
        <v>986</v>
      </c>
      <c r="F102" s="22" t="s">
        <v>952</v>
      </c>
      <c r="G102" s="20">
        <v>10157.03</v>
      </c>
      <c r="H102" s="22" t="s">
        <v>40</v>
      </c>
      <c r="I102" s="17">
        <f t="shared" si="1"/>
        <v>-10157.03</v>
      </c>
      <c r="J102" s="20">
        <v>5334379.95</v>
      </c>
      <c r="K102" s="22" t="s">
        <v>11</v>
      </c>
      <c r="L102" s="22"/>
      <c r="M102" s="569">
        <v>43362.47597222222</v>
      </c>
    </row>
    <row r="103" ht="15.75" customHeight="1">
      <c r="A103" s="13"/>
      <c r="B103" s="566">
        <v>43362.0</v>
      </c>
      <c r="C103" s="13">
        <v>20001.0</v>
      </c>
      <c r="D103" s="13">
        <v>1.0</v>
      </c>
      <c r="E103" s="13" t="s">
        <v>960</v>
      </c>
      <c r="F103" s="13" t="s">
        <v>938</v>
      </c>
      <c r="G103" s="17">
        <v>9572.18</v>
      </c>
      <c r="H103" s="13" t="s">
        <v>11</v>
      </c>
      <c r="I103" s="17">
        <f t="shared" si="1"/>
        <v>9572.18</v>
      </c>
      <c r="J103" s="17">
        <v>5343952.13</v>
      </c>
      <c r="K103" s="13" t="s">
        <v>11</v>
      </c>
      <c r="L103" s="13"/>
      <c r="M103" s="567">
        <v>43362.49239583333</v>
      </c>
    </row>
    <row r="104" ht="15.75" customHeight="1">
      <c r="A104" s="22"/>
      <c r="B104" s="568">
        <v>43362.0</v>
      </c>
      <c r="C104" s="22">
        <v>20001.0</v>
      </c>
      <c r="D104" s="22">
        <v>1.0</v>
      </c>
      <c r="E104" s="22" t="s">
        <v>987</v>
      </c>
      <c r="F104" s="22" t="s">
        <v>952</v>
      </c>
      <c r="G104" s="20">
        <v>7449.71</v>
      </c>
      <c r="H104" s="22" t="s">
        <v>40</v>
      </c>
      <c r="I104" s="17">
        <f t="shared" si="1"/>
        <v>-7449.71</v>
      </c>
      <c r="J104" s="20">
        <v>5336502.42</v>
      </c>
      <c r="K104" s="22" t="s">
        <v>11</v>
      </c>
      <c r="L104" s="22" t="s">
        <v>942</v>
      </c>
      <c r="M104" s="569">
        <v>43362.498020833336</v>
      </c>
    </row>
    <row r="105" ht="15.75" customHeight="1">
      <c r="A105" s="13"/>
      <c r="B105" s="570">
        <v>43391.0</v>
      </c>
      <c r="C105" s="13">
        <v>20001.0</v>
      </c>
      <c r="D105" s="13">
        <v>1.0</v>
      </c>
      <c r="E105" s="13" t="s">
        <v>962</v>
      </c>
      <c r="F105" s="13" t="s">
        <v>938</v>
      </c>
      <c r="G105" s="17">
        <v>156884.07</v>
      </c>
      <c r="H105" s="13" t="s">
        <v>11</v>
      </c>
      <c r="I105" s="17">
        <f t="shared" si="1"/>
        <v>156884.07</v>
      </c>
      <c r="J105" s="17">
        <v>5493386.49</v>
      </c>
      <c r="K105" s="13" t="s">
        <v>11</v>
      </c>
      <c r="L105" s="13"/>
      <c r="M105" s="571">
        <v>43391.45793981481</v>
      </c>
    </row>
    <row r="106" ht="15.75" customHeight="1">
      <c r="A106" s="22"/>
      <c r="B106" s="572">
        <v>43391.0</v>
      </c>
      <c r="C106" s="22">
        <v>20001.0</v>
      </c>
      <c r="D106" s="22">
        <v>1.0</v>
      </c>
      <c r="E106" s="22" t="s">
        <v>963</v>
      </c>
      <c r="F106" s="22" t="s">
        <v>938</v>
      </c>
      <c r="G106" s="20">
        <v>26387.98</v>
      </c>
      <c r="H106" s="22" t="s">
        <v>11</v>
      </c>
      <c r="I106" s="17">
        <f t="shared" si="1"/>
        <v>26387.98</v>
      </c>
      <c r="J106" s="20">
        <v>5519774.47</v>
      </c>
      <c r="K106" s="22" t="s">
        <v>11</v>
      </c>
      <c r="L106" s="22"/>
      <c r="M106" s="573">
        <v>43391.467210648145</v>
      </c>
    </row>
    <row r="107" ht="15.75" customHeight="1">
      <c r="A107" s="13"/>
      <c r="B107" s="570">
        <v>43391.0</v>
      </c>
      <c r="C107" s="13">
        <v>20001.0</v>
      </c>
      <c r="D107" s="13">
        <v>1.0</v>
      </c>
      <c r="E107" s="13" t="s">
        <v>988</v>
      </c>
      <c r="F107" s="13" t="s">
        <v>952</v>
      </c>
      <c r="G107" s="17">
        <v>4766.65</v>
      </c>
      <c r="H107" s="13" t="s">
        <v>40</v>
      </c>
      <c r="I107" s="17">
        <f t="shared" si="1"/>
        <v>-4766.65</v>
      </c>
      <c r="J107" s="17">
        <v>5515007.82</v>
      </c>
      <c r="K107" s="13" t="s">
        <v>11</v>
      </c>
      <c r="L107" s="13" t="s">
        <v>942</v>
      </c>
      <c r="M107" s="571">
        <v>43391.47219907407</v>
      </c>
    </row>
    <row r="108" ht="15.75" customHeight="1">
      <c r="A108" s="22"/>
      <c r="B108" s="572">
        <v>43424.0</v>
      </c>
      <c r="C108" s="22">
        <v>20001.0</v>
      </c>
      <c r="D108" s="22">
        <v>1.0</v>
      </c>
      <c r="E108" s="22" t="s">
        <v>966</v>
      </c>
      <c r="F108" s="22" t="s">
        <v>938</v>
      </c>
      <c r="G108" s="20">
        <v>131621.96</v>
      </c>
      <c r="H108" s="22" t="s">
        <v>11</v>
      </c>
      <c r="I108" s="17">
        <f t="shared" si="1"/>
        <v>131621.96</v>
      </c>
      <c r="J108" s="20">
        <v>5646629.78</v>
      </c>
      <c r="K108" s="22" t="s">
        <v>11</v>
      </c>
      <c r="L108" s="22"/>
      <c r="M108" s="573">
        <v>43424.58660879629</v>
      </c>
    </row>
    <row r="109" ht="15.75" customHeight="1">
      <c r="A109" s="13"/>
      <c r="B109" s="570">
        <v>43424.0</v>
      </c>
      <c r="C109" s="13">
        <v>20001.0</v>
      </c>
      <c r="D109" s="13">
        <v>1.0</v>
      </c>
      <c r="E109" s="13" t="s">
        <v>989</v>
      </c>
      <c r="F109" s="13" t="s">
        <v>952</v>
      </c>
      <c r="G109" s="17">
        <v>18846.37</v>
      </c>
      <c r="H109" s="13" t="s">
        <v>40</v>
      </c>
      <c r="I109" s="17">
        <f t="shared" si="1"/>
        <v>-18846.37</v>
      </c>
      <c r="J109" s="17">
        <v>5627783.41</v>
      </c>
      <c r="K109" s="13" t="s">
        <v>11</v>
      </c>
      <c r="L109" s="13"/>
      <c r="M109" s="571">
        <v>43424.58892361111</v>
      </c>
    </row>
    <row r="110" ht="15.75" customHeight="1">
      <c r="A110" s="22"/>
      <c r="B110" s="572">
        <v>43424.0</v>
      </c>
      <c r="C110" s="22">
        <v>20001.0</v>
      </c>
      <c r="D110" s="22">
        <v>1.0</v>
      </c>
      <c r="E110" s="22" t="s">
        <v>967</v>
      </c>
      <c r="F110" s="22" t="s">
        <v>938</v>
      </c>
      <c r="G110" s="20">
        <v>54612.88</v>
      </c>
      <c r="H110" s="22" t="s">
        <v>11</v>
      </c>
      <c r="I110" s="17">
        <f t="shared" si="1"/>
        <v>54612.88</v>
      </c>
      <c r="J110" s="20">
        <v>5682396.29</v>
      </c>
      <c r="K110" s="22" t="s">
        <v>11</v>
      </c>
      <c r="L110" s="22"/>
      <c r="M110" s="573">
        <v>43424.6249537037</v>
      </c>
    </row>
    <row r="111" ht="15.75" customHeight="1">
      <c r="A111" s="13"/>
      <c r="B111" s="570">
        <v>43424.0</v>
      </c>
      <c r="C111" s="13">
        <v>20001.0</v>
      </c>
      <c r="D111" s="13">
        <v>1.0</v>
      </c>
      <c r="E111" s="13" t="s">
        <v>968</v>
      </c>
      <c r="F111" s="13" t="s">
        <v>938</v>
      </c>
      <c r="G111" s="17">
        <v>8689.34</v>
      </c>
      <c r="H111" s="13" t="s">
        <v>11</v>
      </c>
      <c r="I111" s="17">
        <f t="shared" si="1"/>
        <v>8689.34</v>
      </c>
      <c r="J111" s="17">
        <v>5691085.63</v>
      </c>
      <c r="K111" s="13" t="s">
        <v>11</v>
      </c>
      <c r="L111" s="13" t="s">
        <v>942</v>
      </c>
      <c r="M111" s="571">
        <v>43425.352314814816</v>
      </c>
    </row>
    <row r="112" ht="15.75" customHeight="1">
      <c r="A112" s="22"/>
      <c r="B112" s="572">
        <v>43425.0</v>
      </c>
      <c r="C112" s="22">
        <v>20001.0</v>
      </c>
      <c r="D112" s="22">
        <v>1.0</v>
      </c>
      <c r="E112" s="22" t="s">
        <v>969</v>
      </c>
      <c r="F112" s="22" t="s">
        <v>938</v>
      </c>
      <c r="G112" s="20">
        <v>8978.98</v>
      </c>
      <c r="H112" s="22" t="s">
        <v>11</v>
      </c>
      <c r="I112" s="17">
        <f t="shared" si="1"/>
        <v>8978.98</v>
      </c>
      <c r="J112" s="20">
        <v>5700064.61</v>
      </c>
      <c r="K112" s="22" t="s">
        <v>11</v>
      </c>
      <c r="L112" s="22" t="s">
        <v>942</v>
      </c>
      <c r="M112" s="573">
        <v>43425.439791666664</v>
      </c>
    </row>
    <row r="113" ht="15.75" customHeight="1">
      <c r="A113" s="13"/>
      <c r="B113" s="570">
        <v>43434.0</v>
      </c>
      <c r="C113" s="13">
        <v>20001.0</v>
      </c>
      <c r="D113" s="13">
        <v>1.0</v>
      </c>
      <c r="E113" s="13" t="s">
        <v>990</v>
      </c>
      <c r="F113" s="13" t="s">
        <v>952</v>
      </c>
      <c r="G113" s="17">
        <v>19729.21</v>
      </c>
      <c r="H113" s="13" t="s">
        <v>40</v>
      </c>
      <c r="I113" s="17">
        <f t="shared" si="1"/>
        <v>-19729.21</v>
      </c>
      <c r="J113" s="17">
        <v>5680335.4</v>
      </c>
      <c r="K113" s="13" t="s">
        <v>11</v>
      </c>
      <c r="L113" s="13" t="s">
        <v>942</v>
      </c>
      <c r="M113" s="567">
        <v>43437.33528935185</v>
      </c>
    </row>
    <row r="114" ht="15.75" customHeight="1">
      <c r="A114" s="22"/>
      <c r="B114" s="572">
        <v>43452.0</v>
      </c>
      <c r="C114" s="22">
        <v>20001.0</v>
      </c>
      <c r="D114" s="22">
        <v>1.0</v>
      </c>
      <c r="E114" s="22" t="s">
        <v>970</v>
      </c>
      <c r="F114" s="22" t="s">
        <v>938</v>
      </c>
      <c r="G114" s="20">
        <v>123127.35</v>
      </c>
      <c r="H114" s="22" t="s">
        <v>11</v>
      </c>
      <c r="I114" s="17">
        <f t="shared" si="1"/>
        <v>123127.35</v>
      </c>
      <c r="J114" s="20">
        <v>5803462.75</v>
      </c>
      <c r="K114" s="22" t="s">
        <v>11</v>
      </c>
      <c r="L114" s="22"/>
      <c r="M114" s="573">
        <v>43452.34024305556</v>
      </c>
    </row>
    <row r="115" ht="15.75" customHeight="1">
      <c r="A115" s="13"/>
      <c r="B115" s="570">
        <v>43452.0</v>
      </c>
      <c r="C115" s="13">
        <v>20001.0</v>
      </c>
      <c r="D115" s="13">
        <v>1.0</v>
      </c>
      <c r="E115" s="13" t="s">
        <v>971</v>
      </c>
      <c r="F115" s="13" t="s">
        <v>938</v>
      </c>
      <c r="G115" s="17">
        <v>41592.05</v>
      </c>
      <c r="H115" s="13" t="s">
        <v>11</v>
      </c>
      <c r="I115" s="17">
        <f t="shared" si="1"/>
        <v>41592.05</v>
      </c>
      <c r="J115" s="17">
        <v>5845054.8</v>
      </c>
      <c r="K115" s="13" t="s">
        <v>11</v>
      </c>
      <c r="L115" s="13"/>
      <c r="M115" s="571">
        <v>43452.38240740741</v>
      </c>
    </row>
    <row r="116" ht="15.75" customHeight="1">
      <c r="A116" s="22"/>
      <c r="B116" s="572">
        <v>43452.0</v>
      </c>
      <c r="C116" s="22">
        <v>20001.0</v>
      </c>
      <c r="D116" s="22">
        <v>1.0</v>
      </c>
      <c r="E116" s="22" t="s">
        <v>972</v>
      </c>
      <c r="F116" s="22" t="s">
        <v>938</v>
      </c>
      <c r="G116" s="20">
        <v>20314.06</v>
      </c>
      <c r="H116" s="22" t="s">
        <v>11</v>
      </c>
      <c r="I116" s="17">
        <f t="shared" si="1"/>
        <v>20314.06</v>
      </c>
      <c r="J116" s="20">
        <v>5865368.86</v>
      </c>
      <c r="K116" s="22" t="s">
        <v>11</v>
      </c>
      <c r="L116" s="22"/>
      <c r="M116" s="573">
        <v>43452.53177083333</v>
      </c>
    </row>
    <row r="117" ht="15.75" customHeight="1">
      <c r="A117" s="13"/>
      <c r="B117" s="570">
        <v>43452.0</v>
      </c>
      <c r="C117" s="13">
        <v>20001.0</v>
      </c>
      <c r="D117" s="13">
        <v>1.0</v>
      </c>
      <c r="E117" s="13" t="s">
        <v>973</v>
      </c>
      <c r="F117" s="13" t="s">
        <v>938</v>
      </c>
      <c r="G117" s="17">
        <v>10157.03</v>
      </c>
      <c r="H117" s="13" t="s">
        <v>11</v>
      </c>
      <c r="I117" s="17">
        <f t="shared" si="1"/>
        <v>10157.03</v>
      </c>
      <c r="J117" s="17">
        <v>5875525.89</v>
      </c>
      <c r="K117" s="13" t="s">
        <v>11</v>
      </c>
      <c r="L117" s="13"/>
      <c r="M117" s="571">
        <v>43452.54340277778</v>
      </c>
    </row>
    <row r="118" ht="15.75" customHeight="1">
      <c r="A118" s="22"/>
      <c r="B118" s="572">
        <v>43452.0</v>
      </c>
      <c r="C118" s="22">
        <v>20001.0</v>
      </c>
      <c r="D118" s="22">
        <v>1.0</v>
      </c>
      <c r="E118" s="22" t="s">
        <v>991</v>
      </c>
      <c r="F118" s="22" t="s">
        <v>952</v>
      </c>
      <c r="G118" s="20">
        <v>17552.47</v>
      </c>
      <c r="H118" s="22" t="s">
        <v>40</v>
      </c>
      <c r="I118" s="17">
        <f t="shared" si="1"/>
        <v>-17552.47</v>
      </c>
      <c r="J118" s="20">
        <v>5857973.42</v>
      </c>
      <c r="K118" s="22" t="s">
        <v>11</v>
      </c>
      <c r="L118" s="22"/>
      <c r="M118" s="573">
        <v>43453.38512731482</v>
      </c>
    </row>
    <row r="119" ht="15.75" customHeight="1">
      <c r="A119" s="13"/>
      <c r="B119" s="570">
        <v>43452.0</v>
      </c>
      <c r="C119" s="13">
        <v>20001.0</v>
      </c>
      <c r="D119" s="13">
        <v>1.0</v>
      </c>
      <c r="E119" s="13" t="s">
        <v>992</v>
      </c>
      <c r="F119" s="13" t="s">
        <v>952</v>
      </c>
      <c r="G119" s="17">
        <v>5195.64</v>
      </c>
      <c r="H119" s="13" t="s">
        <v>40</v>
      </c>
      <c r="I119" s="17">
        <f t="shared" si="1"/>
        <v>-5195.64</v>
      </c>
      <c r="J119" s="17">
        <v>5852777.78</v>
      </c>
      <c r="K119" s="13" t="s">
        <v>11</v>
      </c>
      <c r="L119" s="13"/>
      <c r="M119" s="571">
        <v>43453.3903587963</v>
      </c>
    </row>
    <row r="120" ht="15.75" customHeight="1">
      <c r="A120" s="22"/>
      <c r="B120" s="572">
        <v>43452.0</v>
      </c>
      <c r="C120" s="22">
        <v>20001.0</v>
      </c>
      <c r="D120" s="22">
        <v>1.0</v>
      </c>
      <c r="E120" s="22" t="s">
        <v>993</v>
      </c>
      <c r="F120" s="22" t="s">
        <v>952</v>
      </c>
      <c r="G120" s="20">
        <v>8978.98</v>
      </c>
      <c r="H120" s="22" t="s">
        <v>40</v>
      </c>
      <c r="I120" s="17">
        <f t="shared" si="1"/>
        <v>-8978.98</v>
      </c>
      <c r="J120" s="20">
        <v>5843798.8</v>
      </c>
      <c r="K120" s="22" t="s">
        <v>11</v>
      </c>
      <c r="L120" s="22" t="s">
        <v>942</v>
      </c>
      <c r="M120" s="573">
        <v>43453.393379629626</v>
      </c>
    </row>
    <row r="121" ht="15.75" customHeight="1">
      <c r="A121" s="29"/>
      <c r="B121" s="574">
        <v>43455.0</v>
      </c>
      <c r="C121" s="29">
        <v>20001.0</v>
      </c>
      <c r="D121" s="29">
        <v>1.0</v>
      </c>
      <c r="E121" s="29" t="s">
        <v>994</v>
      </c>
      <c r="F121" s="29" t="s">
        <v>952</v>
      </c>
      <c r="G121" s="28">
        <v>26345.63</v>
      </c>
      <c r="H121" s="29" t="s">
        <v>40</v>
      </c>
      <c r="I121" s="17">
        <f t="shared" si="1"/>
        <v>-26345.63</v>
      </c>
      <c r="J121" s="28">
        <v>5817453.17</v>
      </c>
      <c r="K121" s="29" t="s">
        <v>11</v>
      </c>
      <c r="L121" s="29" t="s">
        <v>942</v>
      </c>
      <c r="M121" s="575">
        <v>43455.35259259259</v>
      </c>
    </row>
    <row r="122" ht="15.75" customHeight="1">
      <c r="I122" s="187">
        <f>SUM(I75:I121)</f>
        <v>2409458.13</v>
      </c>
    </row>
    <row r="123" ht="15.75" customHeight="1">
      <c r="B123" s="566">
        <v>43487.0</v>
      </c>
      <c r="C123" s="13">
        <v>20001.0</v>
      </c>
      <c r="D123" s="13">
        <v>1.0</v>
      </c>
      <c r="E123" s="13" t="s">
        <v>995</v>
      </c>
      <c r="F123" s="13" t="s">
        <v>938</v>
      </c>
      <c r="G123" s="17">
        <v>2596954.62</v>
      </c>
      <c r="H123" s="13" t="s">
        <v>11</v>
      </c>
      <c r="I123" s="17">
        <f t="shared" ref="I123:I146" si="2">IF(H123="D",G123,G123*-1)</f>
        <v>2596954.62</v>
      </c>
      <c r="J123" s="17">
        <v>2596954.62</v>
      </c>
      <c r="K123" s="13" t="s">
        <v>11</v>
      </c>
      <c r="L123" s="13"/>
      <c r="M123" s="567">
        <v>43488.5728125</v>
      </c>
    </row>
    <row r="124" ht="15.75" customHeight="1">
      <c r="A124" s="22"/>
      <c r="B124" s="568">
        <v>43487.0</v>
      </c>
      <c r="C124" s="22">
        <v>20001.0</v>
      </c>
      <c r="D124" s="22">
        <v>1.0</v>
      </c>
      <c r="E124" s="22" t="s">
        <v>996</v>
      </c>
      <c r="F124" s="22" t="s">
        <v>952</v>
      </c>
      <c r="G124" s="20">
        <v>10157.03</v>
      </c>
      <c r="H124" s="22" t="s">
        <v>40</v>
      </c>
      <c r="I124" s="17">
        <f t="shared" si="2"/>
        <v>-10157.03</v>
      </c>
      <c r="J124" s="20">
        <v>2586797.59</v>
      </c>
      <c r="K124" s="22" t="s">
        <v>11</v>
      </c>
      <c r="L124" s="22"/>
      <c r="M124" s="569">
        <v>43488.57542824074</v>
      </c>
    </row>
    <row r="125" ht="15.75" customHeight="1">
      <c r="A125" s="13"/>
      <c r="B125" s="566">
        <v>43487.0</v>
      </c>
      <c r="C125" s="13">
        <v>20001.0</v>
      </c>
      <c r="D125" s="13">
        <v>1.0</v>
      </c>
      <c r="E125" s="13" t="s">
        <v>997</v>
      </c>
      <c r="F125" s="13" t="s">
        <v>938</v>
      </c>
      <c r="G125" s="17">
        <v>337766.69</v>
      </c>
      <c r="H125" s="13" t="s">
        <v>11</v>
      </c>
      <c r="I125" s="17">
        <f t="shared" si="2"/>
        <v>337766.69</v>
      </c>
      <c r="J125" s="17">
        <v>2924564.28</v>
      </c>
      <c r="K125" s="13" t="s">
        <v>11</v>
      </c>
      <c r="L125" s="13"/>
      <c r="M125" s="567">
        <v>43488.58422453704</v>
      </c>
    </row>
    <row r="126" ht="15.75" customHeight="1">
      <c r="A126" s="22"/>
      <c r="B126" s="568">
        <v>43487.0</v>
      </c>
      <c r="C126" s="22">
        <v>20001.0</v>
      </c>
      <c r="D126" s="22">
        <v>1.0</v>
      </c>
      <c r="E126" s="22" t="s">
        <v>998</v>
      </c>
      <c r="F126" s="22" t="s">
        <v>938</v>
      </c>
      <c r="G126" s="20">
        <v>40304.27</v>
      </c>
      <c r="H126" s="22" t="s">
        <v>11</v>
      </c>
      <c r="I126" s="17">
        <f t="shared" si="2"/>
        <v>40304.27</v>
      </c>
      <c r="J126" s="20">
        <v>2964868.55</v>
      </c>
      <c r="K126" s="22" t="s">
        <v>11</v>
      </c>
      <c r="L126" s="22"/>
      <c r="M126" s="569">
        <v>43488.59008101852</v>
      </c>
    </row>
    <row r="127" ht="15.75" customHeight="1">
      <c r="A127" s="13"/>
      <c r="B127" s="566">
        <v>43487.0</v>
      </c>
      <c r="C127" s="13">
        <v>20001.0</v>
      </c>
      <c r="D127" s="13">
        <v>1.0</v>
      </c>
      <c r="E127" s="13" t="s">
        <v>999</v>
      </c>
      <c r="F127" s="13" t="s">
        <v>952</v>
      </c>
      <c r="G127" s="17">
        <v>10157.03</v>
      </c>
      <c r="H127" s="13" t="s">
        <v>40</v>
      </c>
      <c r="I127" s="17">
        <f t="shared" si="2"/>
        <v>-10157.03</v>
      </c>
      <c r="J127" s="17">
        <v>2954711.52</v>
      </c>
      <c r="K127" s="13" t="s">
        <v>11</v>
      </c>
      <c r="L127" s="13"/>
      <c r="M127" s="567">
        <v>43488.59261574074</v>
      </c>
    </row>
    <row r="128" ht="15.75" customHeight="1">
      <c r="A128" s="22"/>
      <c r="B128" s="568">
        <v>43487.0</v>
      </c>
      <c r="C128" s="22">
        <v>20001.0</v>
      </c>
      <c r="D128" s="22">
        <v>1.0</v>
      </c>
      <c r="E128" s="22" t="s">
        <v>1000</v>
      </c>
      <c r="F128" s="22" t="s">
        <v>938</v>
      </c>
      <c r="G128" s="20">
        <v>11798.43</v>
      </c>
      <c r="H128" s="22" t="s">
        <v>11</v>
      </c>
      <c r="I128" s="17">
        <f t="shared" si="2"/>
        <v>11798.43</v>
      </c>
      <c r="J128" s="20">
        <v>2966509.95</v>
      </c>
      <c r="K128" s="22" t="s">
        <v>11</v>
      </c>
      <c r="L128" s="22" t="s">
        <v>942</v>
      </c>
      <c r="M128" s="569">
        <v>43488.59533564815</v>
      </c>
    </row>
    <row r="129" ht="15.75" customHeight="1">
      <c r="A129" s="13"/>
      <c r="B129" s="566">
        <v>43496.0</v>
      </c>
      <c r="C129" s="13">
        <v>20001.0</v>
      </c>
      <c r="D129" s="13">
        <v>1.0</v>
      </c>
      <c r="E129" s="13" t="s">
        <v>1001</v>
      </c>
      <c r="F129" s="13" t="s">
        <v>952</v>
      </c>
      <c r="G129" s="17">
        <v>40651.79</v>
      </c>
      <c r="H129" s="13" t="s">
        <v>40</v>
      </c>
      <c r="I129" s="17">
        <f t="shared" si="2"/>
        <v>-40651.79</v>
      </c>
      <c r="J129" s="17">
        <v>2925858.16</v>
      </c>
      <c r="K129" s="13" t="s">
        <v>11</v>
      </c>
      <c r="L129" s="13"/>
      <c r="M129" s="567">
        <v>43500.54394675926</v>
      </c>
    </row>
    <row r="130" ht="15.75" customHeight="1">
      <c r="A130" s="22"/>
      <c r="B130" s="568">
        <v>43496.0</v>
      </c>
      <c r="C130" s="22">
        <v>20001.0</v>
      </c>
      <c r="D130" s="22">
        <v>1.0</v>
      </c>
      <c r="E130" s="22" t="s">
        <v>1002</v>
      </c>
      <c r="F130" s="22" t="s">
        <v>952</v>
      </c>
      <c r="G130" s="20">
        <v>14925.39</v>
      </c>
      <c r="H130" s="22" t="s">
        <v>40</v>
      </c>
      <c r="I130" s="17">
        <f t="shared" si="2"/>
        <v>-14925.39</v>
      </c>
      <c r="J130" s="20">
        <v>2910932.77</v>
      </c>
      <c r="K130" s="22" t="s">
        <v>11</v>
      </c>
      <c r="L130" s="22" t="s">
        <v>942</v>
      </c>
      <c r="M130" s="569">
        <v>43503.48335648148</v>
      </c>
    </row>
    <row r="131" ht="15.75" customHeight="1">
      <c r="A131" s="13"/>
      <c r="B131" s="566">
        <v>43516.0</v>
      </c>
      <c r="C131" s="13">
        <v>20001.0</v>
      </c>
      <c r="D131" s="13">
        <v>1.0</v>
      </c>
      <c r="E131" s="13" t="s">
        <v>1003</v>
      </c>
      <c r="F131" s="13" t="s">
        <v>938</v>
      </c>
      <c r="G131" s="17">
        <v>271363.05</v>
      </c>
      <c r="H131" s="13" t="s">
        <v>11</v>
      </c>
      <c r="I131" s="17">
        <f t="shared" si="2"/>
        <v>271363.05</v>
      </c>
      <c r="J131" s="17">
        <v>3182295.82</v>
      </c>
      <c r="K131" s="13" t="s">
        <v>11</v>
      </c>
      <c r="L131" s="13"/>
      <c r="M131" s="567">
        <v>43516.413877314815</v>
      </c>
    </row>
    <row r="132" ht="15.75" customHeight="1">
      <c r="A132" s="22"/>
      <c r="B132" s="568">
        <v>43516.0</v>
      </c>
      <c r="C132" s="22">
        <v>20001.0</v>
      </c>
      <c r="D132" s="22">
        <v>1.0</v>
      </c>
      <c r="E132" s="22" t="s">
        <v>1004</v>
      </c>
      <c r="F132" s="22" t="s">
        <v>952</v>
      </c>
      <c r="G132" s="20">
        <v>60986.48</v>
      </c>
      <c r="H132" s="22" t="s">
        <v>40</v>
      </c>
      <c r="I132" s="17">
        <f t="shared" si="2"/>
        <v>-60986.48</v>
      </c>
      <c r="J132" s="20">
        <v>3121309.34</v>
      </c>
      <c r="K132" s="22" t="s">
        <v>11</v>
      </c>
      <c r="L132" s="22"/>
      <c r="M132" s="569">
        <v>43516.423414351855</v>
      </c>
    </row>
    <row r="133" ht="15.75" customHeight="1">
      <c r="A133" s="13"/>
      <c r="B133" s="566">
        <v>43516.0</v>
      </c>
      <c r="C133" s="13">
        <v>20001.0</v>
      </c>
      <c r="D133" s="13">
        <v>1.0</v>
      </c>
      <c r="E133" s="13" t="s">
        <v>1005</v>
      </c>
      <c r="F133" s="13" t="s">
        <v>938</v>
      </c>
      <c r="G133" s="17">
        <v>54499.9</v>
      </c>
      <c r="H133" s="13" t="s">
        <v>11</v>
      </c>
      <c r="I133" s="17">
        <f t="shared" si="2"/>
        <v>54499.9</v>
      </c>
      <c r="J133" s="17">
        <v>3175809.24</v>
      </c>
      <c r="K133" s="13" t="s">
        <v>11</v>
      </c>
      <c r="L133" s="13"/>
      <c r="M133" s="567">
        <v>43516.438993055555</v>
      </c>
    </row>
    <row r="134" ht="15.75" customHeight="1">
      <c r="A134" s="22"/>
      <c r="B134" s="568">
        <v>43516.0</v>
      </c>
      <c r="C134" s="22">
        <v>20001.0</v>
      </c>
      <c r="D134" s="22">
        <v>1.0</v>
      </c>
      <c r="E134" s="22" t="s">
        <v>1006</v>
      </c>
      <c r="F134" s="22" t="s">
        <v>952</v>
      </c>
      <c r="G134" s="20">
        <v>5195.64</v>
      </c>
      <c r="H134" s="22" t="s">
        <v>40</v>
      </c>
      <c r="I134" s="17">
        <f t="shared" si="2"/>
        <v>-5195.64</v>
      </c>
      <c r="J134" s="20">
        <v>3170613.6</v>
      </c>
      <c r="K134" s="22" t="s">
        <v>11</v>
      </c>
      <c r="L134" s="22" t="s">
        <v>942</v>
      </c>
      <c r="M134" s="569">
        <v>43516.44013888889</v>
      </c>
    </row>
    <row r="135" ht="15.75" customHeight="1">
      <c r="A135" s="13"/>
      <c r="B135" s="566">
        <v>43524.0</v>
      </c>
      <c r="C135" s="13">
        <v>20001.0</v>
      </c>
      <c r="D135" s="13">
        <v>1.0</v>
      </c>
      <c r="E135" s="13" t="s">
        <v>1007</v>
      </c>
      <c r="F135" s="13" t="s">
        <v>952</v>
      </c>
      <c r="G135" s="17">
        <v>11493.37</v>
      </c>
      <c r="H135" s="13" t="s">
        <v>40</v>
      </c>
      <c r="I135" s="17">
        <f t="shared" si="2"/>
        <v>-11493.37</v>
      </c>
      <c r="J135" s="17">
        <v>3159120.23</v>
      </c>
      <c r="K135" s="13" t="s">
        <v>11</v>
      </c>
      <c r="L135" s="13"/>
      <c r="M135" s="567">
        <v>43535.42884259259</v>
      </c>
    </row>
    <row r="136" ht="15.75" customHeight="1">
      <c r="A136" s="22"/>
      <c r="B136" s="568">
        <v>43524.0</v>
      </c>
      <c r="C136" s="22">
        <v>20001.0</v>
      </c>
      <c r="D136" s="22">
        <v>1.0</v>
      </c>
      <c r="E136" s="22" t="s">
        <v>1008</v>
      </c>
      <c r="F136" s="22" t="s">
        <v>952</v>
      </c>
      <c r="G136" s="20">
        <v>5946.41</v>
      </c>
      <c r="H136" s="22" t="s">
        <v>40</v>
      </c>
      <c r="I136" s="17">
        <f t="shared" si="2"/>
        <v>-5946.41</v>
      </c>
      <c r="J136" s="20">
        <v>3153173.82</v>
      </c>
      <c r="K136" s="22" t="s">
        <v>11</v>
      </c>
      <c r="L136" s="22" t="s">
        <v>942</v>
      </c>
      <c r="M136" s="569">
        <v>43535.481469907405</v>
      </c>
    </row>
    <row r="137" ht="15.75" customHeight="1">
      <c r="A137" s="13"/>
      <c r="B137" s="566">
        <v>43545.0</v>
      </c>
      <c r="C137" s="13">
        <v>20001.0</v>
      </c>
      <c r="D137" s="13">
        <v>1.0</v>
      </c>
      <c r="E137" s="13" t="s">
        <v>1009</v>
      </c>
      <c r="F137" s="13" t="s">
        <v>938</v>
      </c>
      <c r="G137" s="17">
        <v>206374.89</v>
      </c>
      <c r="H137" s="13" t="s">
        <v>11</v>
      </c>
      <c r="I137" s="17">
        <f t="shared" si="2"/>
        <v>206374.89</v>
      </c>
      <c r="J137" s="17">
        <v>3359548.71</v>
      </c>
      <c r="K137" s="13" t="s">
        <v>11</v>
      </c>
      <c r="L137" s="13"/>
      <c r="M137" s="567">
        <v>43545.34951388889</v>
      </c>
    </row>
    <row r="138" ht="15.75" customHeight="1">
      <c r="A138" s="22"/>
      <c r="B138" s="568">
        <v>43545.0</v>
      </c>
      <c r="C138" s="22">
        <v>20001.0</v>
      </c>
      <c r="D138" s="22">
        <v>1.0</v>
      </c>
      <c r="E138" s="22" t="s">
        <v>1010</v>
      </c>
      <c r="F138" s="22" t="s">
        <v>938</v>
      </c>
      <c r="G138" s="20">
        <v>56703.78</v>
      </c>
      <c r="H138" s="22" t="s">
        <v>11</v>
      </c>
      <c r="I138" s="17">
        <f t="shared" si="2"/>
        <v>56703.78</v>
      </c>
      <c r="J138" s="20">
        <v>3416252.49</v>
      </c>
      <c r="K138" s="22" t="s">
        <v>11</v>
      </c>
      <c r="L138" s="22"/>
      <c r="M138" s="569">
        <v>43545.37625</v>
      </c>
    </row>
    <row r="139" ht="15.75" customHeight="1">
      <c r="A139" s="13"/>
      <c r="B139" s="566">
        <v>43545.0</v>
      </c>
      <c r="C139" s="13">
        <v>20001.0</v>
      </c>
      <c r="D139" s="13">
        <v>1.0</v>
      </c>
      <c r="E139" s="13" t="s">
        <v>1011</v>
      </c>
      <c r="F139" s="13" t="s">
        <v>938</v>
      </c>
      <c r="G139" s="17">
        <v>10322.94</v>
      </c>
      <c r="H139" s="13" t="s">
        <v>11</v>
      </c>
      <c r="I139" s="17">
        <f t="shared" si="2"/>
        <v>10322.94</v>
      </c>
      <c r="J139" s="17">
        <v>3426575.43</v>
      </c>
      <c r="K139" s="13" t="s">
        <v>11</v>
      </c>
      <c r="L139" s="13"/>
      <c r="M139" s="567">
        <v>43545.38636574074</v>
      </c>
    </row>
    <row r="140" ht="15.75" customHeight="1">
      <c r="A140" s="22"/>
      <c r="B140" s="568">
        <v>43545.0</v>
      </c>
      <c r="C140" s="22">
        <v>20001.0</v>
      </c>
      <c r="D140" s="22">
        <v>1.0</v>
      </c>
      <c r="E140" s="22" t="s">
        <v>1012</v>
      </c>
      <c r="F140" s="22" t="s">
        <v>938</v>
      </c>
      <c r="G140" s="20">
        <v>10322.94</v>
      </c>
      <c r="H140" s="22" t="s">
        <v>11</v>
      </c>
      <c r="I140" s="17">
        <f t="shared" si="2"/>
        <v>10322.94</v>
      </c>
      <c r="J140" s="20">
        <v>3436898.37</v>
      </c>
      <c r="K140" s="22" t="s">
        <v>11</v>
      </c>
      <c r="L140" s="22"/>
      <c r="M140" s="569">
        <v>43545.39246527778</v>
      </c>
    </row>
    <row r="141" ht="15.75" customHeight="1">
      <c r="A141" s="13"/>
      <c r="B141" s="566">
        <v>43545.0</v>
      </c>
      <c r="C141" s="13">
        <v>20001.0</v>
      </c>
      <c r="D141" s="13">
        <v>1.0</v>
      </c>
      <c r="E141" s="13" t="s">
        <v>1013</v>
      </c>
      <c r="F141" s="13" t="s">
        <v>952</v>
      </c>
      <c r="G141" s="17">
        <v>21420.54</v>
      </c>
      <c r="H141" s="13" t="s">
        <v>40</v>
      </c>
      <c r="I141" s="17">
        <f t="shared" si="2"/>
        <v>-21420.54</v>
      </c>
      <c r="J141" s="17">
        <v>3415477.83</v>
      </c>
      <c r="K141" s="13" t="s">
        <v>11</v>
      </c>
      <c r="L141" s="13" t="s">
        <v>942</v>
      </c>
      <c r="M141" s="567">
        <v>43556.37604166667</v>
      </c>
    </row>
    <row r="142" ht="15.75" customHeight="1">
      <c r="A142" s="22"/>
      <c r="B142" s="568">
        <v>43577.0</v>
      </c>
      <c r="C142" s="22">
        <v>20001.0</v>
      </c>
      <c r="D142" s="22">
        <v>1.0</v>
      </c>
      <c r="E142" s="22" t="s">
        <v>1014</v>
      </c>
      <c r="F142" s="22" t="s">
        <v>938</v>
      </c>
      <c r="G142" s="20">
        <v>195945.2</v>
      </c>
      <c r="H142" s="22" t="s">
        <v>11</v>
      </c>
      <c r="I142" s="17">
        <f t="shared" si="2"/>
        <v>195945.2</v>
      </c>
      <c r="J142" s="20">
        <v>3611423.03</v>
      </c>
      <c r="K142" s="22" t="s">
        <v>11</v>
      </c>
      <c r="L142" s="22"/>
      <c r="M142" s="569">
        <v>43577.34005787037</v>
      </c>
    </row>
    <row r="143" ht="15.75" customHeight="1">
      <c r="A143" s="13"/>
      <c r="B143" s="566">
        <v>43577.0</v>
      </c>
      <c r="C143" s="13">
        <v>20001.0</v>
      </c>
      <c r="D143" s="13">
        <v>1.0</v>
      </c>
      <c r="E143" s="13" t="s">
        <v>1015</v>
      </c>
      <c r="F143" s="13" t="s">
        <v>952</v>
      </c>
      <c r="G143" s="17">
        <v>10946.07</v>
      </c>
      <c r="H143" s="13" t="s">
        <v>40</v>
      </c>
      <c r="I143" s="17">
        <f t="shared" si="2"/>
        <v>-10946.07</v>
      </c>
      <c r="J143" s="17">
        <v>3600476.96</v>
      </c>
      <c r="K143" s="13" t="s">
        <v>11</v>
      </c>
      <c r="L143" s="13"/>
      <c r="M143" s="567">
        <v>43577.34278935185</v>
      </c>
    </row>
    <row r="144" ht="15.75" customHeight="1">
      <c r="A144" s="22"/>
      <c r="B144" s="568">
        <v>43577.0</v>
      </c>
      <c r="C144" s="22">
        <v>20001.0</v>
      </c>
      <c r="D144" s="22">
        <v>1.0</v>
      </c>
      <c r="E144" s="22" t="s">
        <v>1016</v>
      </c>
      <c r="F144" s="22" t="s">
        <v>938</v>
      </c>
      <c r="G144" s="20">
        <v>30075.88</v>
      </c>
      <c r="H144" s="22" t="s">
        <v>11</v>
      </c>
      <c r="I144" s="17">
        <f t="shared" si="2"/>
        <v>30075.88</v>
      </c>
      <c r="J144" s="20">
        <v>3630552.84</v>
      </c>
      <c r="K144" s="22" t="s">
        <v>11</v>
      </c>
      <c r="L144" s="22"/>
      <c r="M144" s="569">
        <v>43577.362604166665</v>
      </c>
    </row>
    <row r="145" ht="15.75" customHeight="1">
      <c r="A145" s="13"/>
      <c r="B145" s="566">
        <v>43577.0</v>
      </c>
      <c r="C145" s="13">
        <v>20001.0</v>
      </c>
      <c r="D145" s="13">
        <v>1.0</v>
      </c>
      <c r="E145" s="13" t="s">
        <v>1017</v>
      </c>
      <c r="F145" s="13" t="s">
        <v>938</v>
      </c>
      <c r="G145" s="17">
        <v>17430.18</v>
      </c>
      <c r="H145" s="13" t="s">
        <v>11</v>
      </c>
      <c r="I145" s="17">
        <f t="shared" si="2"/>
        <v>17430.18</v>
      </c>
      <c r="J145" s="17">
        <v>3647983.02</v>
      </c>
      <c r="K145" s="13" t="s">
        <v>11</v>
      </c>
      <c r="L145" s="13" t="s">
        <v>942</v>
      </c>
      <c r="M145" s="567">
        <v>43577.3702662037</v>
      </c>
    </row>
    <row r="146" ht="15.75" customHeight="1">
      <c r="A146" s="29"/>
      <c r="B146" s="576">
        <v>43585.0</v>
      </c>
      <c r="C146" s="29">
        <v>20001.0</v>
      </c>
      <c r="D146" s="29">
        <v>1.0</v>
      </c>
      <c r="E146" s="29" t="s">
        <v>1018</v>
      </c>
      <c r="F146" s="29" t="s">
        <v>952</v>
      </c>
      <c r="G146" s="28">
        <v>8863.13</v>
      </c>
      <c r="H146" s="29" t="s">
        <v>40</v>
      </c>
      <c r="I146" s="17">
        <f t="shared" si="2"/>
        <v>-8863.13</v>
      </c>
      <c r="J146" s="28">
        <v>3639119.89</v>
      </c>
      <c r="K146" s="29" t="s">
        <v>11</v>
      </c>
      <c r="L146" s="29" t="s">
        <v>942</v>
      </c>
      <c r="M146" s="577">
        <v>43591.41243055555</v>
      </c>
    </row>
    <row r="147" ht="15.75" customHeight="1">
      <c r="I147" s="187">
        <f>SUM(I123:I146)</f>
        <v>3639119.89</v>
      </c>
    </row>
    <row r="148" ht="15.75" customHeight="1">
      <c r="B148" s="566">
        <v>43487.0</v>
      </c>
      <c r="C148" s="13">
        <v>20001.0</v>
      </c>
      <c r="D148" s="13">
        <v>1.0</v>
      </c>
      <c r="E148" s="13" t="s">
        <v>995</v>
      </c>
      <c r="F148" s="13" t="s">
        <v>938</v>
      </c>
      <c r="G148" s="17">
        <v>250320.4</v>
      </c>
      <c r="H148" s="13" t="s">
        <v>11</v>
      </c>
      <c r="I148" s="17"/>
      <c r="J148" s="17">
        <v>250320.4</v>
      </c>
      <c r="K148" s="13" t="s">
        <v>11</v>
      </c>
      <c r="L148" s="13"/>
      <c r="M148" s="567">
        <v>43488.5728125</v>
      </c>
    </row>
    <row r="149" ht="15.75" customHeight="1">
      <c r="A149" s="22"/>
      <c r="B149" s="568">
        <v>43487.0</v>
      </c>
      <c r="C149" s="22">
        <v>20001.0</v>
      </c>
      <c r="D149" s="22">
        <v>1.0</v>
      </c>
      <c r="E149" s="22" t="s">
        <v>997</v>
      </c>
      <c r="F149" s="22" t="s">
        <v>938</v>
      </c>
      <c r="G149" s="20">
        <v>26279.8</v>
      </c>
      <c r="H149" s="22" t="s">
        <v>11</v>
      </c>
      <c r="I149" s="17"/>
      <c r="J149" s="20">
        <v>276600.2</v>
      </c>
      <c r="K149" s="22" t="s">
        <v>11</v>
      </c>
      <c r="L149" s="22"/>
      <c r="M149" s="569">
        <v>43488.58422453704</v>
      </c>
    </row>
    <row r="150" ht="15.75" customHeight="1">
      <c r="A150" s="13"/>
      <c r="B150" s="566">
        <v>43487.0</v>
      </c>
      <c r="C150" s="13">
        <v>20001.0</v>
      </c>
      <c r="D150" s="13">
        <v>1.0</v>
      </c>
      <c r="E150" s="13" t="s">
        <v>998</v>
      </c>
      <c r="F150" s="13" t="s">
        <v>938</v>
      </c>
      <c r="G150" s="17">
        <v>7981.5</v>
      </c>
      <c r="H150" s="13" t="s">
        <v>11</v>
      </c>
      <c r="I150" s="17"/>
      <c r="J150" s="17">
        <v>284581.7</v>
      </c>
      <c r="K150" s="13" t="s">
        <v>11</v>
      </c>
      <c r="L150" s="13"/>
      <c r="M150" s="567">
        <v>43488.59008101852</v>
      </c>
    </row>
    <row r="151" ht="15.75" customHeight="1">
      <c r="A151" s="22"/>
      <c r="B151" s="568">
        <v>43487.0</v>
      </c>
      <c r="C151" s="22">
        <v>20001.0</v>
      </c>
      <c r="D151" s="22">
        <v>1.0</v>
      </c>
      <c r="E151" s="22" t="s">
        <v>1000</v>
      </c>
      <c r="F151" s="22" t="s">
        <v>938</v>
      </c>
      <c r="G151" s="20">
        <v>3118.81</v>
      </c>
      <c r="H151" s="22" t="s">
        <v>11</v>
      </c>
      <c r="I151" s="17"/>
      <c r="J151" s="20">
        <v>287700.51</v>
      </c>
      <c r="K151" s="22" t="s">
        <v>11</v>
      </c>
      <c r="L151" s="22" t="s">
        <v>942</v>
      </c>
      <c r="M151" s="569">
        <v>43488.59533564815</v>
      </c>
    </row>
    <row r="152" ht="15.75" customHeight="1">
      <c r="A152" s="13"/>
      <c r="B152" s="566">
        <v>43516.0</v>
      </c>
      <c r="C152" s="13">
        <v>20001.0</v>
      </c>
      <c r="D152" s="13">
        <v>1.0</v>
      </c>
      <c r="E152" s="13" t="s">
        <v>1003</v>
      </c>
      <c r="F152" s="13" t="s">
        <v>938</v>
      </c>
      <c r="G152" s="17">
        <v>250320.4</v>
      </c>
      <c r="H152" s="13" t="s">
        <v>11</v>
      </c>
      <c r="I152" s="17"/>
      <c r="J152" s="17">
        <v>538020.91</v>
      </c>
      <c r="K152" s="13" t="s">
        <v>11</v>
      </c>
      <c r="L152" s="13"/>
      <c r="M152" s="567">
        <v>43516.413877314815</v>
      </c>
    </row>
    <row r="153" ht="15.75" customHeight="1">
      <c r="A153" s="22"/>
      <c r="B153" s="568">
        <v>43516.0</v>
      </c>
      <c r="C153" s="22">
        <v>20001.0</v>
      </c>
      <c r="D153" s="22">
        <v>1.0</v>
      </c>
      <c r="E153" s="22" t="s">
        <v>1005</v>
      </c>
      <c r="F153" s="22" t="s">
        <v>938</v>
      </c>
      <c r="G153" s="20">
        <v>26279.8</v>
      </c>
      <c r="H153" s="22" t="s">
        <v>11</v>
      </c>
      <c r="I153" s="17"/>
      <c r="J153" s="20">
        <v>564300.71</v>
      </c>
      <c r="K153" s="22" t="s">
        <v>11</v>
      </c>
      <c r="L153" s="22"/>
      <c r="M153" s="569">
        <v>43516.438993055555</v>
      </c>
    </row>
    <row r="154" ht="15.75" customHeight="1">
      <c r="A154" s="13"/>
      <c r="B154" s="566">
        <v>43516.0</v>
      </c>
      <c r="C154" s="13">
        <v>20001.0</v>
      </c>
      <c r="D154" s="13">
        <v>1.0</v>
      </c>
      <c r="E154" s="13" t="s">
        <v>1019</v>
      </c>
      <c r="F154" s="13" t="s">
        <v>938</v>
      </c>
      <c r="G154" s="17">
        <v>7981.5</v>
      </c>
      <c r="H154" s="13" t="s">
        <v>11</v>
      </c>
      <c r="I154" s="17"/>
      <c r="J154" s="17">
        <v>572282.21</v>
      </c>
      <c r="K154" s="13" t="s">
        <v>11</v>
      </c>
      <c r="L154" s="13"/>
      <c r="M154" s="567">
        <v>43516.46047453704</v>
      </c>
    </row>
    <row r="155" ht="15.75" customHeight="1">
      <c r="A155" s="22"/>
      <c r="B155" s="568">
        <v>43516.0</v>
      </c>
      <c r="C155" s="22">
        <v>20001.0</v>
      </c>
      <c r="D155" s="22">
        <v>1.0</v>
      </c>
      <c r="E155" s="22" t="s">
        <v>1020</v>
      </c>
      <c r="F155" s="22" t="s">
        <v>938</v>
      </c>
      <c r="G155" s="20">
        <v>3118.81</v>
      </c>
      <c r="H155" s="22" t="s">
        <v>11</v>
      </c>
      <c r="I155" s="17"/>
      <c r="J155" s="20">
        <v>575401.02</v>
      </c>
      <c r="K155" s="22" t="s">
        <v>11</v>
      </c>
      <c r="L155" s="22"/>
      <c r="M155" s="569">
        <v>43516.46575231481</v>
      </c>
    </row>
    <row r="156" ht="15.75" customHeight="1">
      <c r="A156" s="13"/>
      <c r="B156" s="566">
        <v>43516.0</v>
      </c>
      <c r="C156" s="13">
        <v>20001.0</v>
      </c>
      <c r="D156" s="13">
        <v>1.0</v>
      </c>
      <c r="E156" s="13" t="s">
        <v>1021</v>
      </c>
      <c r="F156" s="13" t="s">
        <v>952</v>
      </c>
      <c r="G156" s="17">
        <v>3118.81</v>
      </c>
      <c r="H156" s="13" t="s">
        <v>40</v>
      </c>
      <c r="I156" s="17"/>
      <c r="J156" s="17">
        <v>572282.21</v>
      </c>
      <c r="K156" s="13" t="s">
        <v>11</v>
      </c>
      <c r="L156" s="13"/>
      <c r="M156" s="567">
        <v>43516.46871527778</v>
      </c>
    </row>
    <row r="157" ht="15.75" customHeight="1">
      <c r="A157" s="22"/>
      <c r="B157" s="568">
        <v>43516.0</v>
      </c>
      <c r="C157" s="22">
        <v>20001.0</v>
      </c>
      <c r="D157" s="22">
        <v>1.0</v>
      </c>
      <c r="E157" s="22" t="s">
        <v>1022</v>
      </c>
      <c r="F157" s="22" t="s">
        <v>938</v>
      </c>
      <c r="G157" s="20">
        <v>3118.81</v>
      </c>
      <c r="H157" s="22" t="s">
        <v>11</v>
      </c>
      <c r="I157" s="17"/>
      <c r="J157" s="20">
        <v>575401.02</v>
      </c>
      <c r="K157" s="22" t="s">
        <v>11</v>
      </c>
      <c r="L157" s="22" t="s">
        <v>942</v>
      </c>
      <c r="M157" s="569">
        <v>43516.471597222226</v>
      </c>
    </row>
    <row r="158" ht="15.75" customHeight="1">
      <c r="A158" s="13"/>
      <c r="B158" s="566">
        <v>43545.0</v>
      </c>
      <c r="C158" s="13">
        <v>20001.0</v>
      </c>
      <c r="D158" s="13">
        <v>1.0</v>
      </c>
      <c r="E158" s="13" t="s">
        <v>1009</v>
      </c>
      <c r="F158" s="13" t="s">
        <v>938</v>
      </c>
      <c r="G158" s="17">
        <v>253670.36</v>
      </c>
      <c r="H158" s="13" t="s">
        <v>11</v>
      </c>
      <c r="I158" s="17">
        <f t="shared" ref="I158:I161" si="3">IF(H158="D",G158,G158*-1)</f>
        <v>253670.36</v>
      </c>
      <c r="J158" s="17">
        <v>829071.38</v>
      </c>
      <c r="K158" s="13" t="s">
        <v>11</v>
      </c>
      <c r="L158" s="13"/>
      <c r="M158" s="567">
        <v>43545.34951388889</v>
      </c>
    </row>
    <row r="159" ht="15.75" customHeight="1">
      <c r="A159" s="22"/>
      <c r="B159" s="568">
        <v>43545.0</v>
      </c>
      <c r="C159" s="22">
        <v>20001.0</v>
      </c>
      <c r="D159" s="22">
        <v>1.0</v>
      </c>
      <c r="E159" s="22" t="s">
        <v>1010</v>
      </c>
      <c r="F159" s="22" t="s">
        <v>938</v>
      </c>
      <c r="G159" s="20">
        <v>26279.8</v>
      </c>
      <c r="H159" s="22" t="s">
        <v>11</v>
      </c>
      <c r="I159" s="17">
        <f t="shared" si="3"/>
        <v>26279.8</v>
      </c>
      <c r="J159" s="20">
        <v>855351.18</v>
      </c>
      <c r="K159" s="22" t="s">
        <v>11</v>
      </c>
      <c r="L159" s="22"/>
      <c r="M159" s="569">
        <v>43545.37625</v>
      </c>
    </row>
    <row r="160" ht="15.75" customHeight="1">
      <c r="A160" s="13"/>
      <c r="B160" s="566">
        <v>43545.0</v>
      </c>
      <c r="C160" s="13">
        <v>20001.0</v>
      </c>
      <c r="D160" s="13">
        <v>1.0</v>
      </c>
      <c r="E160" s="13" t="s">
        <v>1011</v>
      </c>
      <c r="F160" s="13" t="s">
        <v>938</v>
      </c>
      <c r="G160" s="17">
        <v>7981.5</v>
      </c>
      <c r="H160" s="13" t="s">
        <v>11</v>
      </c>
      <c r="I160" s="17">
        <f t="shared" si="3"/>
        <v>7981.5</v>
      </c>
      <c r="J160" s="17">
        <v>863332.68</v>
      </c>
      <c r="K160" s="13" t="s">
        <v>11</v>
      </c>
      <c r="L160" s="13"/>
      <c r="M160" s="567">
        <v>43545.38636574074</v>
      </c>
    </row>
    <row r="161" ht="15.75" customHeight="1">
      <c r="A161" s="22"/>
      <c r="B161" s="568">
        <v>43545.0</v>
      </c>
      <c r="C161" s="22">
        <v>20001.0</v>
      </c>
      <c r="D161" s="22">
        <v>1.0</v>
      </c>
      <c r="E161" s="22" t="s">
        <v>1012</v>
      </c>
      <c r="F161" s="22" t="s">
        <v>938</v>
      </c>
      <c r="G161" s="20">
        <v>3118.81</v>
      </c>
      <c r="H161" s="22" t="s">
        <v>11</v>
      </c>
      <c r="I161" s="17">
        <f t="shared" si="3"/>
        <v>3118.81</v>
      </c>
      <c r="J161" s="20">
        <v>866451.49</v>
      </c>
      <c r="K161" s="22" t="s">
        <v>11</v>
      </c>
      <c r="L161" s="22" t="s">
        <v>942</v>
      </c>
      <c r="M161" s="569">
        <v>43545.39246527778</v>
      </c>
    </row>
    <row r="162" ht="15.75" customHeight="1">
      <c r="A162" s="29"/>
      <c r="B162" s="576">
        <v>43577.0</v>
      </c>
      <c r="C162" s="29">
        <v>20001.0</v>
      </c>
      <c r="D162" s="29">
        <v>1.0</v>
      </c>
      <c r="E162" s="29" t="s">
        <v>1014</v>
      </c>
      <c r="F162" s="29" t="s">
        <v>938</v>
      </c>
      <c r="G162" s="28">
        <v>259480.37</v>
      </c>
      <c r="H162" s="29" t="s">
        <v>11</v>
      </c>
      <c r="I162" s="17"/>
      <c r="J162" s="28">
        <v>1125931.86</v>
      </c>
      <c r="K162" s="29" t="s">
        <v>11</v>
      </c>
      <c r="L162" s="29"/>
      <c r="M162" s="577">
        <v>43577.34005787037</v>
      </c>
    </row>
    <row r="163" ht="15.75" customHeight="1">
      <c r="A163" s="22"/>
      <c r="B163" s="568">
        <v>43577.0</v>
      </c>
      <c r="C163" s="22">
        <v>20001.0</v>
      </c>
      <c r="D163" s="22">
        <v>1.0</v>
      </c>
      <c r="E163" s="22" t="s">
        <v>1016</v>
      </c>
      <c r="F163" s="22" t="s">
        <v>938</v>
      </c>
      <c r="G163" s="20">
        <v>35047.54</v>
      </c>
      <c r="H163" s="22" t="s">
        <v>11</v>
      </c>
      <c r="I163" s="17"/>
      <c r="J163" s="20">
        <v>1160979.4</v>
      </c>
      <c r="K163" s="22" t="s">
        <v>11</v>
      </c>
      <c r="L163" s="22"/>
      <c r="M163" s="569">
        <v>43577.362604166665</v>
      </c>
    </row>
    <row r="164" ht="15.75" customHeight="1">
      <c r="A164" s="13"/>
      <c r="B164" s="566">
        <v>43577.0</v>
      </c>
      <c r="C164" s="13">
        <v>20001.0</v>
      </c>
      <c r="D164" s="13">
        <v>1.0</v>
      </c>
      <c r="E164" s="13" t="s">
        <v>1017</v>
      </c>
      <c r="F164" s="13" t="s">
        <v>938</v>
      </c>
      <c r="G164" s="17">
        <v>7981.5</v>
      </c>
      <c r="H164" s="13" t="s">
        <v>11</v>
      </c>
      <c r="I164" s="17"/>
      <c r="J164" s="17">
        <v>1168960.9</v>
      </c>
      <c r="K164" s="13" t="s">
        <v>11</v>
      </c>
      <c r="L164" s="13"/>
      <c r="M164" s="567">
        <v>43577.3702662037</v>
      </c>
    </row>
    <row r="165" ht="15.75" customHeight="1">
      <c r="A165" s="22"/>
      <c r="B165" s="568">
        <v>43577.0</v>
      </c>
      <c r="C165" s="22">
        <v>20001.0</v>
      </c>
      <c r="D165" s="22">
        <v>1.0</v>
      </c>
      <c r="E165" s="22" t="s">
        <v>1023</v>
      </c>
      <c r="F165" s="22" t="s">
        <v>938</v>
      </c>
      <c r="G165" s="20">
        <v>3118.81</v>
      </c>
      <c r="H165" s="22" t="s">
        <v>11</v>
      </c>
      <c r="I165" s="17"/>
      <c r="J165" s="20">
        <v>1172079.71</v>
      </c>
      <c r="K165" s="22" t="s">
        <v>11</v>
      </c>
      <c r="L165" s="22" t="s">
        <v>942</v>
      </c>
      <c r="M165" s="569">
        <v>43577.376979166664</v>
      </c>
    </row>
    <row r="166" ht="15.75" customHeight="1">
      <c r="I166" s="187">
        <f>SUM(I148:I165)</f>
        <v>291050.47</v>
      </c>
    </row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72.43"/>
    <col customWidth="1" min="2" max="2" width="13.86"/>
    <col customWidth="1" min="3" max="3" width="11.71"/>
    <col customWidth="1" min="4" max="5" width="11.43"/>
    <col customWidth="1" min="6" max="6" width="11.14"/>
    <col customWidth="1" min="7" max="7" width="10.57"/>
    <col customWidth="1" min="8" max="8" width="11.14"/>
    <col customWidth="1" min="9" max="9" width="10.43"/>
    <col customWidth="1" min="10" max="10" width="10.86"/>
    <col customWidth="1" min="11" max="11" width="11.14"/>
    <col customWidth="1" min="12" max="12" width="10.57"/>
    <col customWidth="1" min="13" max="13" width="11.29"/>
    <col customWidth="1" min="14" max="14" width="11.57"/>
    <col customWidth="1" min="15" max="15" width="11.86"/>
  </cols>
  <sheetData>
    <row r="1" ht="15.75" customHeight="1">
      <c r="A1" s="40" t="str">
        <f>'Conciliação DCF X EFISCO c AP'!A96</f>
        <v>ESTADO DE PERNAMBUCO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3"/>
      <c r="Q1" s="43"/>
      <c r="R1" s="43"/>
      <c r="S1" s="43"/>
      <c r="T1" s="43"/>
    </row>
    <row r="2" ht="15.75" customHeight="1">
      <c r="A2" s="40" t="str">
        <f>'Conciliação DCF X EFISCO c AP'!A97</f>
        <v>PODER LEGISLATIVO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  <c r="P2" s="43"/>
      <c r="Q2" s="43"/>
      <c r="R2" s="43"/>
      <c r="S2" s="43"/>
      <c r="T2" s="43"/>
    </row>
    <row r="3" ht="15.75" customHeight="1">
      <c r="A3" s="44" t="str">
        <f>'Conciliação DCF X EFISCO c AP'!A98</f>
        <v>TRIBUNAL DE CONTAS DO ESTADO DE PERNAMBUCO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43"/>
      <c r="Q3" s="43"/>
      <c r="R3" s="43"/>
      <c r="S3" s="43"/>
      <c r="T3" s="43"/>
    </row>
    <row r="4" ht="15.75" customHeight="1">
      <c r="A4" s="44" t="str">
        <f>'Conciliação DCF X EFISCO c AP'!A99</f>
        <v>RELATÓRIO DE GESTÃO FISCAL 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45"/>
      <c r="Q4" s="45"/>
      <c r="R4" s="45"/>
      <c r="S4" s="45"/>
      <c r="T4" s="45"/>
    </row>
    <row r="5" ht="15.75" customHeight="1">
      <c r="A5" s="40" t="str">
        <f>'Conciliação DCF X EFISCO c AP'!A100</f>
        <v>DEMONSTRATIVO DA DESPESA COM PESSOAL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  <c r="P5" s="45"/>
      <c r="Q5" s="45"/>
      <c r="R5" s="45"/>
      <c r="S5" s="45"/>
      <c r="T5" s="45"/>
    </row>
    <row r="6" ht="15.75" customHeight="1">
      <c r="A6" s="40" t="str">
        <f>'Conciliação DCF X EFISCO c AP'!A101</f>
        <v>ORÇAMENTOS FISCAIS E DA SEGURIDADE SOCIAL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2"/>
      <c r="P6" s="45"/>
      <c r="Q6" s="45"/>
      <c r="R6" s="45"/>
      <c r="S6" s="45"/>
      <c r="T6" s="45"/>
    </row>
    <row r="7" ht="15.75" customHeight="1">
      <c r="A7" s="44" t="str">
        <f>'Conciliação DCF X EFISCO c AP'!A102</f>
        <v>2º Quadrimestre de 2020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  <c r="P7" s="45"/>
      <c r="Q7" s="45"/>
      <c r="R7" s="45"/>
      <c r="S7" s="45"/>
      <c r="T7" s="45"/>
    </row>
    <row r="8" ht="15.75" customHeight="1">
      <c r="A8" s="40" t="str">
        <f>'Conciliação DCF X EFISCO c AP'!A103</f>
        <v>Período: setembro/2019 a agosto/2020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43"/>
      <c r="Q8" s="43"/>
      <c r="R8" s="43"/>
      <c r="S8" s="43"/>
      <c r="T8" s="43"/>
    </row>
    <row r="9" ht="15.75" customHeight="1">
      <c r="A9" s="46" t="s">
        <v>54</v>
      </c>
      <c r="B9" s="47"/>
      <c r="C9" s="48"/>
      <c r="D9" s="48"/>
      <c r="E9" s="48"/>
      <c r="F9" s="49"/>
      <c r="G9" s="49"/>
      <c r="H9" s="49"/>
      <c r="I9" s="48"/>
      <c r="J9" s="48"/>
      <c r="K9" s="48"/>
      <c r="L9" s="48"/>
      <c r="M9" s="48"/>
      <c r="N9" s="50">
        <v>1.0</v>
      </c>
      <c r="O9" s="51"/>
      <c r="Q9" s="52"/>
      <c r="R9" s="43"/>
      <c r="S9" s="43"/>
      <c r="T9" s="43"/>
    </row>
    <row r="10" ht="15.75" customHeight="1">
      <c r="A10" s="53" t="s">
        <v>55</v>
      </c>
      <c r="B10" s="54" t="s">
        <v>56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2"/>
      <c r="Q10" s="52"/>
      <c r="R10" s="43"/>
      <c r="S10" s="43"/>
      <c r="T10" s="43"/>
    </row>
    <row r="11" ht="15.75" customHeight="1">
      <c r="A11" s="57"/>
      <c r="B11" s="58" t="s">
        <v>57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52"/>
      <c r="Q11" s="52"/>
      <c r="R11" s="43"/>
      <c r="S11" s="43"/>
      <c r="T11" s="43"/>
    </row>
    <row r="12" ht="15.75" customHeight="1">
      <c r="A12" s="57"/>
      <c r="B12" s="61" t="s">
        <v>58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64" t="s">
        <v>59</v>
      </c>
      <c r="P12" s="52"/>
      <c r="Q12" s="52"/>
      <c r="R12" s="43"/>
      <c r="S12" s="43"/>
      <c r="T12" s="43"/>
    </row>
    <row r="13" ht="15.75" customHeight="1">
      <c r="A13" s="65"/>
      <c r="B13" s="66">
        <f>'Conciliação DCF X EFISCO c AP'!B108</f>
        <v>43709</v>
      </c>
      <c r="C13" s="66">
        <f t="shared" ref="C13:M13" si="1">B13+31</f>
        <v>43740</v>
      </c>
      <c r="D13" s="66">
        <f t="shared" si="1"/>
        <v>43771</v>
      </c>
      <c r="E13" s="66">
        <f t="shared" si="1"/>
        <v>43802</v>
      </c>
      <c r="F13" s="66">
        <f t="shared" si="1"/>
        <v>43833</v>
      </c>
      <c r="G13" s="66">
        <f t="shared" si="1"/>
        <v>43864</v>
      </c>
      <c r="H13" s="66">
        <f t="shared" si="1"/>
        <v>43895</v>
      </c>
      <c r="I13" s="66">
        <f t="shared" si="1"/>
        <v>43926</v>
      </c>
      <c r="J13" s="66">
        <f t="shared" si="1"/>
        <v>43957</v>
      </c>
      <c r="K13" s="66">
        <f t="shared" si="1"/>
        <v>43988</v>
      </c>
      <c r="L13" s="66">
        <f t="shared" si="1"/>
        <v>44019</v>
      </c>
      <c r="M13" s="66">
        <f t="shared" si="1"/>
        <v>44050</v>
      </c>
      <c r="N13" s="67" t="s">
        <v>60</v>
      </c>
      <c r="O13" s="68"/>
      <c r="P13" s="52"/>
      <c r="Q13" s="52"/>
      <c r="R13" s="43"/>
      <c r="S13" s="43"/>
      <c r="T13" s="43"/>
    </row>
    <row r="14" ht="15.75" customHeight="1">
      <c r="A14" s="69" t="s">
        <v>61</v>
      </c>
      <c r="B14" s="70">
        <f t="shared" ref="B14:M14" si="2">B15+B19</f>
        <v>31925502.02</v>
      </c>
      <c r="C14" s="70">
        <f t="shared" si="2"/>
        <v>31725721.89</v>
      </c>
      <c r="D14" s="70">
        <f t="shared" si="2"/>
        <v>31680917.71</v>
      </c>
      <c r="E14" s="70">
        <f t="shared" si="2"/>
        <v>62164351.39</v>
      </c>
      <c r="F14" s="70">
        <f t="shared" si="2"/>
        <v>31435470.35</v>
      </c>
      <c r="G14" s="70">
        <f t="shared" si="2"/>
        <v>31438702.5</v>
      </c>
      <c r="H14" s="70">
        <f t="shared" si="2"/>
        <v>31441164.52</v>
      </c>
      <c r="I14" s="70">
        <f t="shared" si="2"/>
        <v>31397791.92</v>
      </c>
      <c r="J14" s="70">
        <f t="shared" si="2"/>
        <v>31503730.98</v>
      </c>
      <c r="K14" s="70">
        <f t="shared" si="2"/>
        <v>31468685.07</v>
      </c>
      <c r="L14" s="70">
        <f t="shared" si="2"/>
        <v>31456823.47</v>
      </c>
      <c r="M14" s="70">
        <f t="shared" si="2"/>
        <v>31620494.59</v>
      </c>
      <c r="N14" s="70">
        <f t="shared" ref="N14:N29" si="4">SUM(B14:M14)</f>
        <v>409259356.4</v>
      </c>
      <c r="O14" s="71" t="s">
        <v>62</v>
      </c>
      <c r="P14" s="52"/>
      <c r="Q14" s="52"/>
      <c r="R14" s="43"/>
      <c r="S14" s="43"/>
      <c r="T14" s="43"/>
    </row>
    <row r="15" ht="15.75" customHeight="1">
      <c r="A15" s="69" t="s">
        <v>63</v>
      </c>
      <c r="B15" s="72">
        <f t="shared" ref="B15:M15" si="3">SUM(B16:B18)</f>
        <v>25362826.29</v>
      </c>
      <c r="C15" s="72">
        <f t="shared" si="3"/>
        <v>25076537.36</v>
      </c>
      <c r="D15" s="72">
        <f t="shared" si="3"/>
        <v>25038667.26</v>
      </c>
      <c r="E15" s="72">
        <f t="shared" si="3"/>
        <v>47396590.05</v>
      </c>
      <c r="F15" s="72">
        <f t="shared" si="3"/>
        <v>24004046.83</v>
      </c>
      <c r="G15" s="72">
        <f t="shared" si="3"/>
        <v>24007278.99</v>
      </c>
      <c r="H15" s="72">
        <f t="shared" si="3"/>
        <v>23992933.93</v>
      </c>
      <c r="I15" s="72">
        <f t="shared" si="3"/>
        <v>23948091.83</v>
      </c>
      <c r="J15" s="72">
        <f t="shared" si="3"/>
        <v>24002698.64</v>
      </c>
      <c r="K15" s="72">
        <f t="shared" si="3"/>
        <v>24030003.27</v>
      </c>
      <c r="L15" s="72">
        <f t="shared" si="3"/>
        <v>24026120.23</v>
      </c>
      <c r="M15" s="72">
        <f t="shared" si="3"/>
        <v>24160511.74</v>
      </c>
      <c r="N15" s="73">
        <f t="shared" si="4"/>
        <v>315046306.4</v>
      </c>
      <c r="O15" s="74" t="s">
        <v>62</v>
      </c>
      <c r="P15" s="75"/>
      <c r="Q15" s="75"/>
      <c r="R15" s="76"/>
      <c r="S15" s="76"/>
      <c r="T15" s="76"/>
    </row>
    <row r="16" ht="15.75" customHeight="1">
      <c r="A16" s="77" t="s">
        <v>64</v>
      </c>
      <c r="B16" s="78">
        <f>'Conciliação DCF X EFISCO c AP'!B112</f>
        <v>20127170.87</v>
      </c>
      <c r="C16" s="78">
        <f>'Conciliação DCF X EFISCO c AP'!C112</f>
        <v>19862875.11</v>
      </c>
      <c r="D16" s="78">
        <f>'Conciliação DCF X EFISCO c AP'!D112</f>
        <v>19837131.3</v>
      </c>
      <c r="E16" s="78">
        <f>'Conciliação DCF X EFISCO c AP'!E112</f>
        <v>37489160.3</v>
      </c>
      <c r="F16" s="78">
        <f>'Conciliação DCF X EFISCO c AP'!F112</f>
        <v>19007127.11</v>
      </c>
      <c r="G16" s="78">
        <f>'Conciliação DCF X EFISCO c AP'!G112</f>
        <v>19009584.56</v>
      </c>
      <c r="H16" s="78">
        <f>'Conciliação DCF X EFISCO c AP'!H112</f>
        <v>18996414.7</v>
      </c>
      <c r="I16" s="78">
        <f>'Conciliação DCF X EFISCO c AP'!I112</f>
        <v>18961417.53</v>
      </c>
      <c r="J16" s="78">
        <f>'Conciliação DCF X EFISCO c AP'!J112</f>
        <v>19006803.37</v>
      </c>
      <c r="K16" s="78">
        <f>'Conciliação DCF X EFISCO c AP'!K112</f>
        <v>19031194.33</v>
      </c>
      <c r="L16" s="78">
        <f>'Conciliação DCF X EFISCO c AP'!L112</f>
        <v>19027618.92</v>
      </c>
      <c r="M16" s="78">
        <f>'Conciliação DCF X EFISCO c AP'!M112</f>
        <v>18995433.65</v>
      </c>
      <c r="N16" s="79">
        <f t="shared" si="4"/>
        <v>249351931.8</v>
      </c>
      <c r="O16" s="80" t="s">
        <v>62</v>
      </c>
      <c r="P16" s="52"/>
      <c r="Q16" s="52"/>
      <c r="R16" s="43"/>
      <c r="S16" s="43"/>
      <c r="T16" s="43"/>
    </row>
    <row r="17" ht="15.75" customHeight="1">
      <c r="A17" s="77" t="s">
        <v>65</v>
      </c>
      <c r="B17" s="78">
        <f>'Conciliação DCF X EFISCO c AP'!B113</f>
        <v>5235655.42</v>
      </c>
      <c r="C17" s="78">
        <f>'Conciliação DCF X EFISCO c AP'!C113</f>
        <v>5213662.25</v>
      </c>
      <c r="D17" s="78">
        <f>'Conciliação DCF X EFISCO c AP'!D113</f>
        <v>5201535.96</v>
      </c>
      <c r="E17" s="78">
        <f>'Conciliação DCF X EFISCO c AP'!E113</f>
        <v>9907429.75</v>
      </c>
      <c r="F17" s="78">
        <f>'Conciliação DCF X EFISCO c AP'!F113</f>
        <v>4996919.72</v>
      </c>
      <c r="G17" s="78">
        <f>'Conciliação DCF X EFISCO c AP'!G113</f>
        <v>4997694.43</v>
      </c>
      <c r="H17" s="78">
        <f>'Conciliação DCF X EFISCO c AP'!H113</f>
        <v>4996519.23</v>
      </c>
      <c r="I17" s="78">
        <f>'Conciliação DCF X EFISCO c AP'!I113</f>
        <v>4986674.3</v>
      </c>
      <c r="J17" s="78">
        <f>'Conciliação DCF X EFISCO c AP'!J113</f>
        <v>4995895.27</v>
      </c>
      <c r="K17" s="78">
        <f>'Conciliação DCF X EFISCO c AP'!K113</f>
        <v>4998808.94</v>
      </c>
      <c r="L17" s="78">
        <f>'Conciliação DCF X EFISCO c AP'!L113</f>
        <v>4998501.31</v>
      </c>
      <c r="M17" s="78">
        <f>'Conciliação DCF X EFISCO c AP'!M113</f>
        <v>5165078.09</v>
      </c>
      <c r="N17" s="79">
        <f t="shared" si="4"/>
        <v>65694374.67</v>
      </c>
      <c r="O17" s="80" t="s">
        <v>62</v>
      </c>
      <c r="P17" s="52"/>
      <c r="Q17" s="52"/>
      <c r="R17" s="43"/>
      <c r="S17" s="43"/>
      <c r="T17" s="43"/>
    </row>
    <row r="18" ht="15.75" customHeight="1">
      <c r="A18" s="77" t="s">
        <v>66</v>
      </c>
      <c r="B18" s="80" t="str">
        <f>'Conciliação DCF X EFISCO c AP'!B114</f>
        <v>0,00</v>
      </c>
      <c r="C18" s="80" t="str">
        <f>'Conciliação DCF X EFISCO c AP'!C114</f>
        <v>0,00</v>
      </c>
      <c r="D18" s="80" t="str">
        <f>'Conciliação DCF X EFISCO c AP'!D114</f>
        <v>0,00</v>
      </c>
      <c r="E18" s="80" t="str">
        <f>'Conciliação DCF X EFISCO c AP'!E114</f>
        <v>0,00</v>
      </c>
      <c r="F18" s="80" t="str">
        <f>'Conciliação DCF X EFISCO c AP'!F114</f>
        <v>0,00</v>
      </c>
      <c r="G18" s="80" t="str">
        <f>'Conciliação DCF X EFISCO c AP'!G114</f>
        <v>0,00</v>
      </c>
      <c r="H18" s="80" t="str">
        <f>'Conciliação DCF X EFISCO c AP'!H114</f>
        <v>0,00</v>
      </c>
      <c r="I18" s="80" t="str">
        <f>'Conciliação DCF X EFISCO c AP'!I114</f>
        <v>0,00</v>
      </c>
      <c r="J18" s="80" t="str">
        <f>'Conciliação DCF X EFISCO c AP'!J114</f>
        <v>0,00</v>
      </c>
      <c r="K18" s="80" t="str">
        <f>'Conciliação DCF X EFISCO c AP'!K114</f>
        <v>0,00</v>
      </c>
      <c r="L18" s="80" t="str">
        <f>'Conciliação DCF X EFISCO c AP'!L114</f>
        <v>0,00</v>
      </c>
      <c r="M18" s="80" t="str">
        <f>'Conciliação DCF X EFISCO c AP'!M114</f>
        <v>0,00</v>
      </c>
      <c r="N18" s="79">
        <f t="shared" si="4"/>
        <v>0</v>
      </c>
      <c r="O18" s="80" t="s">
        <v>62</v>
      </c>
      <c r="P18" s="52"/>
      <c r="Q18" s="52"/>
      <c r="R18" s="43"/>
      <c r="S18" s="43"/>
      <c r="T18" s="43"/>
    </row>
    <row r="19" ht="15.75" customHeight="1">
      <c r="A19" s="69" t="s">
        <v>67</v>
      </c>
      <c r="B19" s="72">
        <f t="shared" ref="B19:M19" si="5">SUM(B20:B23)</f>
        <v>6562675.73</v>
      </c>
      <c r="C19" s="72">
        <f t="shared" si="5"/>
        <v>6649184.53</v>
      </c>
      <c r="D19" s="72">
        <f t="shared" si="5"/>
        <v>6642250.45</v>
      </c>
      <c r="E19" s="72">
        <f t="shared" si="5"/>
        <v>14767761.34</v>
      </c>
      <c r="F19" s="72">
        <f t="shared" si="5"/>
        <v>7431423.52</v>
      </c>
      <c r="G19" s="72">
        <f t="shared" si="5"/>
        <v>7431423.51</v>
      </c>
      <c r="H19" s="72">
        <f t="shared" si="5"/>
        <v>7448230.59</v>
      </c>
      <c r="I19" s="72">
        <f t="shared" si="5"/>
        <v>7449700.09</v>
      </c>
      <c r="J19" s="72">
        <f t="shared" si="5"/>
        <v>7501032.34</v>
      </c>
      <c r="K19" s="72">
        <f t="shared" si="5"/>
        <v>7438681.8</v>
      </c>
      <c r="L19" s="72">
        <f t="shared" si="5"/>
        <v>7430703.24</v>
      </c>
      <c r="M19" s="72">
        <f t="shared" si="5"/>
        <v>7459982.85</v>
      </c>
      <c r="N19" s="73">
        <f t="shared" si="4"/>
        <v>94213049.99</v>
      </c>
      <c r="O19" s="74" t="s">
        <v>62</v>
      </c>
      <c r="P19" s="75"/>
      <c r="Q19" s="75"/>
      <c r="R19" s="76"/>
      <c r="S19" s="76"/>
      <c r="T19" s="76"/>
    </row>
    <row r="20" ht="15.75" customHeight="1">
      <c r="A20" s="77" t="s">
        <v>68</v>
      </c>
      <c r="B20" s="78">
        <f>'Conciliação DCF X EFISCO c AP'!B116</f>
        <v>5465102.42</v>
      </c>
      <c r="C20" s="78">
        <f>'Conciliação DCF X EFISCO c AP'!C116</f>
        <v>5525353.81</v>
      </c>
      <c r="D20" s="78">
        <f>'Conciliação DCF X EFISCO c AP'!D116</f>
        <v>5521522.71</v>
      </c>
      <c r="E20" s="78">
        <f>'Conciliação DCF X EFISCO c AP'!E116</f>
        <v>12565912.86</v>
      </c>
      <c r="F20" s="78">
        <f>'Conciliação DCF X EFISCO c AP'!F116</f>
        <v>6282956.43</v>
      </c>
      <c r="G20" s="78">
        <f>'Conciliação DCF X EFISCO c AP'!G116</f>
        <v>6282956.43</v>
      </c>
      <c r="H20" s="78">
        <f>'Conciliação DCF X EFISCO c AP'!H116</f>
        <v>6304173.68</v>
      </c>
      <c r="I20" s="78">
        <f>'Conciliação DCF X EFISCO c AP'!I116</f>
        <v>6305643.18</v>
      </c>
      <c r="J20" s="78">
        <f>'Conciliação DCF X EFISCO c AP'!J116</f>
        <v>6305643.18</v>
      </c>
      <c r="K20" s="78">
        <f>'Conciliação DCF X EFISCO c AP'!K116</f>
        <v>6305643.18</v>
      </c>
      <c r="L20" s="78">
        <f>'Conciliação DCF X EFISCO c AP'!L116</f>
        <v>6305643.18</v>
      </c>
      <c r="M20" s="78">
        <f>'Conciliação DCF X EFISCO c AP'!M116</f>
        <v>6334922.79</v>
      </c>
      <c r="N20" s="79">
        <f t="shared" si="4"/>
        <v>79505473.85</v>
      </c>
      <c r="O20" s="80" t="s">
        <v>62</v>
      </c>
      <c r="P20" s="52"/>
      <c r="Q20" s="52"/>
      <c r="R20" s="43"/>
      <c r="S20" s="43"/>
      <c r="T20" s="43"/>
    </row>
    <row r="21" ht="15.75" customHeight="1">
      <c r="A21" s="77" t="s">
        <v>69</v>
      </c>
      <c r="B21" s="78">
        <f>'Conciliação DCF X EFISCO c AP'!B117</f>
        <v>1097573.31</v>
      </c>
      <c r="C21" s="78">
        <f>'Conciliação DCF X EFISCO c AP'!C117</f>
        <v>1123830.72</v>
      </c>
      <c r="D21" s="78">
        <f>'Conciliação DCF X EFISCO c AP'!D117</f>
        <v>1120727.74</v>
      </c>
      <c r="E21" s="78">
        <f>'Conciliação DCF X EFISCO c AP'!E117</f>
        <v>2201848.48</v>
      </c>
      <c r="F21" s="78">
        <f>'Conciliação DCF X EFISCO c AP'!F117</f>
        <v>1148467.09</v>
      </c>
      <c r="G21" s="78">
        <f>'Conciliação DCF X EFISCO c AP'!G117</f>
        <v>1148467.08</v>
      </c>
      <c r="H21" s="78">
        <f>'Conciliação DCF X EFISCO c AP'!H117</f>
        <v>1144056.91</v>
      </c>
      <c r="I21" s="78">
        <f>'Conciliação DCF X EFISCO c AP'!I117</f>
        <v>1144056.91</v>
      </c>
      <c r="J21" s="78">
        <f>'Conciliação DCF X EFISCO c AP'!J117</f>
        <v>1195389.16</v>
      </c>
      <c r="K21" s="78">
        <f>'Conciliação DCF X EFISCO c AP'!K117</f>
        <v>1133038.62</v>
      </c>
      <c r="L21" s="78">
        <f>'Conciliação DCF X EFISCO c AP'!L117</f>
        <v>1125060.06</v>
      </c>
      <c r="M21" s="78">
        <f>'Conciliação DCF X EFISCO c AP'!M117</f>
        <v>1125060.06</v>
      </c>
      <c r="N21" s="79">
        <f t="shared" si="4"/>
        <v>14707576.14</v>
      </c>
      <c r="O21" s="80" t="s">
        <v>62</v>
      </c>
      <c r="P21" s="52"/>
      <c r="Q21" s="52"/>
      <c r="R21" s="43"/>
      <c r="S21" s="43"/>
      <c r="T21" s="43"/>
    </row>
    <row r="22" ht="15.75" customHeight="1">
      <c r="A22" s="77" t="s">
        <v>70</v>
      </c>
      <c r="B22" s="80" t="str">
        <f>'Conciliação DCF X EFISCO c AP'!B118</f>
        <v>0,00</v>
      </c>
      <c r="C22" s="80" t="str">
        <f>'Conciliação DCF X EFISCO c AP'!C118</f>
        <v>0,00</v>
      </c>
      <c r="D22" s="80" t="str">
        <f>'Conciliação DCF X EFISCO c AP'!D118</f>
        <v>0,00</v>
      </c>
      <c r="E22" s="80" t="str">
        <f>'Conciliação DCF X EFISCO c AP'!E118</f>
        <v>0,00</v>
      </c>
      <c r="F22" s="80" t="str">
        <f>'Conciliação DCF X EFISCO c AP'!F118</f>
        <v>0,00</v>
      </c>
      <c r="G22" s="80" t="str">
        <f>'Conciliação DCF X EFISCO c AP'!G118</f>
        <v>0,00</v>
      </c>
      <c r="H22" s="80" t="str">
        <f>'Conciliação DCF X EFISCO c AP'!H118</f>
        <v>0,00</v>
      </c>
      <c r="I22" s="80" t="str">
        <f>'Conciliação DCF X EFISCO c AP'!I118</f>
        <v>0,00</v>
      </c>
      <c r="J22" s="80" t="str">
        <f>'Conciliação DCF X EFISCO c AP'!J118</f>
        <v>0,00</v>
      </c>
      <c r="K22" s="80" t="str">
        <f>'Conciliação DCF X EFISCO c AP'!K118</f>
        <v>0,00</v>
      </c>
      <c r="L22" s="80" t="str">
        <f>'Conciliação DCF X EFISCO c AP'!L118</f>
        <v>0,00</v>
      </c>
      <c r="M22" s="80" t="str">
        <f>'Conciliação DCF X EFISCO c AP'!M118</f>
        <v>0,00</v>
      </c>
      <c r="N22" s="79">
        <f t="shared" si="4"/>
        <v>0</v>
      </c>
      <c r="O22" s="80" t="s">
        <v>62</v>
      </c>
      <c r="P22" s="52"/>
      <c r="Q22" s="52"/>
      <c r="R22" s="43"/>
      <c r="S22" s="43"/>
      <c r="T22" s="43"/>
    </row>
    <row r="23" ht="15.75" customHeight="1">
      <c r="A23" s="77" t="s">
        <v>71</v>
      </c>
      <c r="B23" s="80" t="str">
        <f>'Conciliação DCF X EFISCO c AP'!B119</f>
        <v>0,00</v>
      </c>
      <c r="C23" s="80" t="str">
        <f>'Conciliação DCF X EFISCO c AP'!C119</f>
        <v>0,00</v>
      </c>
      <c r="D23" s="80" t="str">
        <f>'Conciliação DCF X EFISCO c AP'!D119</f>
        <v>0,00</v>
      </c>
      <c r="E23" s="80" t="str">
        <f>'Conciliação DCF X EFISCO c AP'!E119</f>
        <v>0,00</v>
      </c>
      <c r="F23" s="80" t="str">
        <f>'Conciliação DCF X EFISCO c AP'!F119</f>
        <v>0,00</v>
      </c>
      <c r="G23" s="80" t="str">
        <f>'Conciliação DCF X EFISCO c AP'!G119</f>
        <v>0,00</v>
      </c>
      <c r="H23" s="80" t="str">
        <f>'Conciliação DCF X EFISCO c AP'!H119</f>
        <v>0,00</v>
      </c>
      <c r="I23" s="80" t="str">
        <f>'Conciliação DCF X EFISCO c AP'!I119</f>
        <v>0,00</v>
      </c>
      <c r="J23" s="80" t="str">
        <f>'Conciliação DCF X EFISCO c AP'!J119</f>
        <v>0,00</v>
      </c>
      <c r="K23" s="80" t="str">
        <f>'Conciliação DCF X EFISCO c AP'!K119</f>
        <v>0,00</v>
      </c>
      <c r="L23" s="80" t="str">
        <f>'Conciliação DCF X EFISCO c AP'!L119</f>
        <v>0,00</v>
      </c>
      <c r="M23" s="80" t="str">
        <f>'Conciliação DCF X EFISCO c AP'!M119</f>
        <v>0,00</v>
      </c>
      <c r="N23" s="79">
        <f t="shared" si="4"/>
        <v>0</v>
      </c>
      <c r="O23" s="80" t="s">
        <v>62</v>
      </c>
      <c r="P23" s="52"/>
      <c r="Q23" s="52"/>
      <c r="R23" s="43"/>
      <c r="S23" s="43"/>
      <c r="T23" s="43"/>
    </row>
    <row r="24" ht="15.75" customHeight="1">
      <c r="A24" s="69" t="s">
        <v>72</v>
      </c>
      <c r="B24" s="81">
        <f t="shared" ref="B24:M24" si="6">SUM(B25:B28)</f>
        <v>6576379.94</v>
      </c>
      <c r="C24" s="81">
        <f t="shared" si="6"/>
        <v>6650880.13</v>
      </c>
      <c r="D24" s="81">
        <f t="shared" si="6"/>
        <v>6642408.2</v>
      </c>
      <c r="E24" s="81">
        <f t="shared" si="6"/>
        <v>14767761.34</v>
      </c>
      <c r="F24" s="81">
        <f t="shared" si="6"/>
        <v>7431423.52</v>
      </c>
      <c r="G24" s="81">
        <f t="shared" si="6"/>
        <v>7431423.51</v>
      </c>
      <c r="H24" s="81">
        <f t="shared" si="6"/>
        <v>7448230.59</v>
      </c>
      <c r="I24" s="81">
        <f t="shared" si="6"/>
        <v>7449700.09</v>
      </c>
      <c r="J24" s="81">
        <f t="shared" si="6"/>
        <v>7501032.34</v>
      </c>
      <c r="K24" s="81">
        <f t="shared" si="6"/>
        <v>7438681.8</v>
      </c>
      <c r="L24" s="81">
        <f t="shared" si="6"/>
        <v>7430703.24</v>
      </c>
      <c r="M24" s="81">
        <f t="shared" si="6"/>
        <v>7459982.85</v>
      </c>
      <c r="N24" s="73">
        <f t="shared" si="4"/>
        <v>94228607.55</v>
      </c>
      <c r="O24" s="74" t="s">
        <v>62</v>
      </c>
      <c r="P24" s="52"/>
      <c r="Q24" s="52"/>
      <c r="R24" s="43"/>
      <c r="S24" s="43"/>
      <c r="T24" s="43"/>
    </row>
    <row r="25" ht="15.75" customHeight="1">
      <c r="A25" s="77" t="s">
        <v>73</v>
      </c>
      <c r="B25" s="80" t="str">
        <f>'Conciliação DCF X EFISCO c AP'!B121</f>
        <v>0,00</v>
      </c>
      <c r="C25" s="80" t="str">
        <f>'Conciliação DCF X EFISCO c AP'!C121</f>
        <v>0,00</v>
      </c>
      <c r="D25" s="80" t="str">
        <f>'Conciliação DCF X EFISCO c AP'!D121</f>
        <v>0,00</v>
      </c>
      <c r="E25" s="80" t="str">
        <f>'Conciliação DCF X EFISCO c AP'!E121</f>
        <v>0,00</v>
      </c>
      <c r="F25" s="80" t="str">
        <f>'Conciliação DCF X EFISCO c AP'!F121</f>
        <v>0,00</v>
      </c>
      <c r="G25" s="80" t="str">
        <f>'Conciliação DCF X EFISCO c AP'!G121</f>
        <v>0,00</v>
      </c>
      <c r="H25" s="80" t="str">
        <f>'Conciliação DCF X EFISCO c AP'!H121</f>
        <v>0,00</v>
      </c>
      <c r="I25" s="80" t="str">
        <f>'Conciliação DCF X EFISCO c AP'!I121</f>
        <v>0,00</v>
      </c>
      <c r="J25" s="80" t="str">
        <f>'Conciliação DCF X EFISCO c AP'!J121</f>
        <v>0,00</v>
      </c>
      <c r="K25" s="80" t="str">
        <f>'Conciliação DCF X EFISCO c AP'!K121</f>
        <v>0,00</v>
      </c>
      <c r="L25" s="80" t="str">
        <f>'Conciliação DCF X EFISCO c AP'!L121</f>
        <v>0,00</v>
      </c>
      <c r="M25" s="80" t="str">
        <f>'Conciliação DCF X EFISCO c AP'!M121</f>
        <v>0,00</v>
      </c>
      <c r="N25" s="79">
        <f t="shared" si="4"/>
        <v>0</v>
      </c>
      <c r="O25" s="80" t="s">
        <v>62</v>
      </c>
      <c r="P25" s="52"/>
      <c r="Q25" s="52"/>
      <c r="R25" s="43"/>
      <c r="S25" s="43"/>
      <c r="T25" s="43"/>
    </row>
    <row r="26" ht="15.75" customHeight="1">
      <c r="A26" s="77" t="s">
        <v>74</v>
      </c>
      <c r="B26" s="80" t="str">
        <f>'Conciliação DCF X EFISCO c AP'!B122</f>
        <v>0,00</v>
      </c>
      <c r="C26" s="80" t="str">
        <f>'Conciliação DCF X EFISCO c AP'!C122</f>
        <v>0,00</v>
      </c>
      <c r="D26" s="80" t="str">
        <f>'Conciliação DCF X EFISCO c AP'!D122</f>
        <v>0,00</v>
      </c>
      <c r="E26" s="80" t="str">
        <f>'Conciliação DCF X EFISCO c AP'!E122</f>
        <v>0,00</v>
      </c>
      <c r="F26" s="80" t="str">
        <f>'Conciliação DCF X EFISCO c AP'!F122</f>
        <v>0,00</v>
      </c>
      <c r="G26" s="80" t="str">
        <f>'Conciliação DCF X EFISCO c AP'!G122</f>
        <v>0,00</v>
      </c>
      <c r="H26" s="80" t="str">
        <f>'Conciliação DCF X EFISCO c AP'!H122</f>
        <v>0,00</v>
      </c>
      <c r="I26" s="80" t="str">
        <f>'Conciliação DCF X EFISCO c AP'!I122</f>
        <v>0,00</v>
      </c>
      <c r="J26" s="80" t="str">
        <f>'Conciliação DCF X EFISCO c AP'!J122</f>
        <v>0,00</v>
      </c>
      <c r="K26" s="80" t="str">
        <f>'Conciliação DCF X EFISCO c AP'!K122</f>
        <v>0,00</v>
      </c>
      <c r="L26" s="80" t="str">
        <f>'Conciliação DCF X EFISCO c AP'!L122</f>
        <v>0,00</v>
      </c>
      <c r="M26" s="80" t="str">
        <f>'Conciliação DCF X EFISCO c AP'!M122</f>
        <v>0,00</v>
      </c>
      <c r="N26" s="79">
        <f t="shared" si="4"/>
        <v>0</v>
      </c>
      <c r="O26" s="80" t="s">
        <v>62</v>
      </c>
      <c r="P26" s="52"/>
      <c r="Q26" s="52"/>
      <c r="R26" s="43"/>
      <c r="S26" s="43"/>
      <c r="T26" s="43"/>
    </row>
    <row r="27" ht="15.75" customHeight="1">
      <c r="A27" s="77" t="s">
        <v>75</v>
      </c>
      <c r="B27" s="78">
        <f>'Conciliação DCF X EFISCO c AP'!B123</f>
        <v>13704.21</v>
      </c>
      <c r="C27" s="78">
        <f>'Conciliação DCF X EFISCO c AP'!C123</f>
        <v>1695.6</v>
      </c>
      <c r="D27" s="78">
        <f>'Conciliação DCF X EFISCO c AP'!D123</f>
        <v>157.75</v>
      </c>
      <c r="E27" s="78">
        <f>'Conciliação DCF X EFISCO c AP'!E123</f>
        <v>0</v>
      </c>
      <c r="F27" s="78">
        <f>'Conciliação DCF X EFISCO c AP'!F123</f>
        <v>0</v>
      </c>
      <c r="G27" s="78">
        <f>'Conciliação DCF X EFISCO c AP'!G123</f>
        <v>0</v>
      </c>
      <c r="H27" s="78">
        <f>'Conciliação DCF X EFISCO c AP'!H123</f>
        <v>0</v>
      </c>
      <c r="I27" s="78">
        <f>'Conciliação DCF X EFISCO c AP'!I123</f>
        <v>0</v>
      </c>
      <c r="J27" s="78">
        <f>'Conciliação DCF X EFISCO c AP'!J123</f>
        <v>0</v>
      </c>
      <c r="K27" s="78">
        <f>'Conciliação DCF X EFISCO c AP'!K123</f>
        <v>0</v>
      </c>
      <c r="L27" s="78">
        <f>'Conciliação DCF X EFISCO c AP'!L123</f>
        <v>0</v>
      </c>
      <c r="M27" s="78">
        <f>'Conciliação DCF X EFISCO c AP'!M123</f>
        <v>0</v>
      </c>
      <c r="N27" s="79">
        <f t="shared" si="4"/>
        <v>15557.56</v>
      </c>
      <c r="O27" s="80" t="s">
        <v>62</v>
      </c>
      <c r="P27" s="52"/>
      <c r="Q27" s="52"/>
      <c r="R27" s="43"/>
      <c r="S27" s="43"/>
      <c r="T27" s="43"/>
    </row>
    <row r="28" ht="15.75" customHeight="1">
      <c r="A28" s="77" t="s">
        <v>76</v>
      </c>
      <c r="B28" s="78">
        <f>'Conciliação DCF X EFISCO c AP'!B124</f>
        <v>6562675.73</v>
      </c>
      <c r="C28" s="78">
        <f>'Conciliação DCF X EFISCO c AP'!C124</f>
        <v>6649184.53</v>
      </c>
      <c r="D28" s="78">
        <f>'Conciliação DCF X EFISCO c AP'!D124</f>
        <v>6642250.45</v>
      </c>
      <c r="E28" s="78">
        <f>'Conciliação DCF X EFISCO c AP'!E124</f>
        <v>14767761.34</v>
      </c>
      <c r="F28" s="78">
        <f>'Conciliação DCF X EFISCO c AP'!F124</f>
        <v>7431423.52</v>
      </c>
      <c r="G28" s="78">
        <f>'Conciliação DCF X EFISCO c AP'!G124</f>
        <v>7431423.51</v>
      </c>
      <c r="H28" s="78">
        <f>'Conciliação DCF X EFISCO c AP'!H124</f>
        <v>7448230.59</v>
      </c>
      <c r="I28" s="78">
        <f>'Conciliação DCF X EFISCO c AP'!I124</f>
        <v>7449700.09</v>
      </c>
      <c r="J28" s="78">
        <f>'Conciliação DCF X EFISCO c AP'!J124</f>
        <v>7501032.34</v>
      </c>
      <c r="K28" s="78">
        <f>'Conciliação DCF X EFISCO c AP'!K124</f>
        <v>7438681.8</v>
      </c>
      <c r="L28" s="78">
        <f>'Conciliação DCF X EFISCO c AP'!L124</f>
        <v>7430703.24</v>
      </c>
      <c r="M28" s="78">
        <f>'Conciliação DCF X EFISCO c AP'!M124</f>
        <v>7459982.85</v>
      </c>
      <c r="N28" s="79">
        <f t="shared" si="4"/>
        <v>94213049.99</v>
      </c>
      <c r="O28" s="82" t="s">
        <v>62</v>
      </c>
      <c r="P28" s="52"/>
      <c r="Q28" s="52"/>
      <c r="R28" s="43"/>
      <c r="S28" s="43"/>
      <c r="T28" s="43"/>
    </row>
    <row r="29" ht="15.75" customHeight="1">
      <c r="A29" s="83" t="s">
        <v>77</v>
      </c>
      <c r="B29" s="84">
        <f t="shared" ref="B29:M29" si="7">B14-B24</f>
        <v>25349122.08</v>
      </c>
      <c r="C29" s="84">
        <f t="shared" si="7"/>
        <v>25074841.76</v>
      </c>
      <c r="D29" s="84">
        <f t="shared" si="7"/>
        <v>25038509.51</v>
      </c>
      <c r="E29" s="84">
        <f t="shared" si="7"/>
        <v>47396590.05</v>
      </c>
      <c r="F29" s="84">
        <f t="shared" si="7"/>
        <v>24004046.83</v>
      </c>
      <c r="G29" s="84">
        <f t="shared" si="7"/>
        <v>24007278.99</v>
      </c>
      <c r="H29" s="84">
        <f t="shared" si="7"/>
        <v>23992933.93</v>
      </c>
      <c r="I29" s="84">
        <f t="shared" si="7"/>
        <v>23948091.83</v>
      </c>
      <c r="J29" s="84">
        <f t="shared" si="7"/>
        <v>24002698.64</v>
      </c>
      <c r="K29" s="84">
        <f t="shared" si="7"/>
        <v>24030003.27</v>
      </c>
      <c r="L29" s="84">
        <f t="shared" si="7"/>
        <v>24026120.23</v>
      </c>
      <c r="M29" s="84">
        <f t="shared" si="7"/>
        <v>24160511.74</v>
      </c>
      <c r="N29" s="85">
        <f t="shared" si="4"/>
        <v>315030748.9</v>
      </c>
      <c r="O29" s="86" t="s">
        <v>62</v>
      </c>
      <c r="P29" s="52"/>
      <c r="Q29" s="52"/>
      <c r="R29" s="43"/>
      <c r="S29" s="43"/>
      <c r="T29" s="43"/>
    </row>
    <row r="30" ht="15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88"/>
      <c r="P30" s="52"/>
      <c r="Q30" s="52"/>
      <c r="R30" s="43"/>
      <c r="S30" s="43"/>
      <c r="T30" s="43"/>
    </row>
    <row r="31" ht="15.75" hidden="1" customHeight="1">
      <c r="A31" s="89" t="s">
        <v>78</v>
      </c>
      <c r="B31" s="90" t="s">
        <v>79</v>
      </c>
      <c r="C31" s="91" t="s">
        <v>80</v>
      </c>
      <c r="E31" s="92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52"/>
      <c r="Q31" s="52"/>
      <c r="R31" s="43"/>
      <c r="S31" s="43"/>
      <c r="T31" s="43"/>
    </row>
    <row r="32" ht="15.75" hidden="1" customHeight="1">
      <c r="A32" s="93" t="s">
        <v>81</v>
      </c>
      <c r="B32" s="94">
        <f>'Conciliação DCF X EFISCO c AP'!B130</f>
        <v>26493989726</v>
      </c>
      <c r="C32" s="95"/>
      <c r="E32" s="87"/>
      <c r="F32" s="96"/>
      <c r="G32" s="88"/>
      <c r="H32" s="88"/>
      <c r="I32" s="88"/>
      <c r="J32" s="88"/>
      <c r="K32" s="88"/>
      <c r="L32" s="97"/>
      <c r="M32" s="88"/>
      <c r="N32" s="97"/>
      <c r="O32" s="88"/>
      <c r="P32" s="52"/>
      <c r="Q32" s="52"/>
      <c r="R32" s="43"/>
      <c r="S32" s="43"/>
      <c r="T32" s="43"/>
    </row>
    <row r="33" ht="15.75" hidden="1" customHeight="1">
      <c r="A33" s="93" t="s">
        <v>82</v>
      </c>
      <c r="B33" s="94">
        <f>'Conciliação DCF X EFISCO c AP'!B131</f>
        <v>21510682</v>
      </c>
      <c r="C33" s="95"/>
      <c r="E33" s="98"/>
      <c r="F33" s="96"/>
      <c r="G33" s="88"/>
      <c r="H33" s="88"/>
      <c r="I33" s="88"/>
      <c r="J33" s="88"/>
      <c r="K33" s="88"/>
      <c r="L33" s="88"/>
      <c r="M33" s="88"/>
      <c r="N33" s="88"/>
      <c r="O33" s="88"/>
      <c r="P33" s="52"/>
      <c r="Q33" s="52"/>
      <c r="R33" s="43"/>
      <c r="S33" s="43"/>
      <c r="T33" s="43"/>
    </row>
    <row r="34" ht="15.75" hidden="1" customHeight="1">
      <c r="A34" s="93" t="s">
        <v>83</v>
      </c>
      <c r="B34" s="94">
        <f>B32-B33</f>
        <v>26472479044</v>
      </c>
      <c r="C34" s="95"/>
      <c r="E34" s="98"/>
      <c r="F34" s="96"/>
      <c r="G34" s="96"/>
      <c r="H34" s="88"/>
      <c r="I34" s="88"/>
      <c r="J34" s="88"/>
      <c r="K34" s="88"/>
      <c r="L34" s="88"/>
      <c r="M34" s="88"/>
      <c r="N34" s="88"/>
      <c r="O34" s="88"/>
      <c r="P34" s="52"/>
      <c r="Q34" s="52"/>
      <c r="R34" s="43"/>
      <c r="S34" s="43"/>
      <c r="T34" s="43"/>
    </row>
    <row r="35" ht="15.75" hidden="1" customHeight="1">
      <c r="A35" s="99" t="s">
        <v>84</v>
      </c>
      <c r="B35" s="100">
        <f>N29</f>
        <v>315030748.9</v>
      </c>
      <c r="C35" s="101">
        <f>'Conciliação DCF X EFISCO c AP'!D133</f>
        <v>1.192505215</v>
      </c>
      <c r="E35" s="92"/>
      <c r="F35" s="96"/>
      <c r="G35" s="88"/>
      <c r="H35" s="88"/>
      <c r="I35" s="88"/>
      <c r="J35" s="88"/>
      <c r="K35" s="88"/>
      <c r="L35" s="88"/>
      <c r="M35" s="88"/>
      <c r="N35" s="88"/>
      <c r="O35" s="88"/>
      <c r="P35" s="52"/>
      <c r="Q35" s="52"/>
      <c r="R35" s="43"/>
      <c r="S35" s="43"/>
      <c r="T35" s="43"/>
    </row>
    <row r="36" ht="15.75" hidden="1" customHeight="1">
      <c r="A36" s="93" t="s">
        <v>85</v>
      </c>
      <c r="B36" s="94">
        <f>'Conciliação DCF X EFISCO c AP'!B134</f>
        <v>412113894.3</v>
      </c>
      <c r="C36" s="95">
        <f>'Conciliação DCF X EFISCO c AP'!D134</f>
        <v>1.56</v>
      </c>
      <c r="E36" s="92"/>
      <c r="F36" s="96"/>
      <c r="G36" s="88"/>
      <c r="H36" s="88"/>
      <c r="I36" s="88"/>
      <c r="J36" s="88"/>
      <c r="K36" s="88"/>
      <c r="L36" s="88"/>
      <c r="M36" s="88"/>
      <c r="N36" s="88"/>
      <c r="O36" s="88"/>
      <c r="P36" s="52"/>
      <c r="Q36" s="52"/>
      <c r="R36" s="43"/>
      <c r="S36" s="43"/>
      <c r="T36" s="43"/>
    </row>
    <row r="37" ht="15.75" hidden="1" customHeight="1">
      <c r="A37" s="93" t="s">
        <v>86</v>
      </c>
      <c r="B37" s="94">
        <f>'Conciliação DCF X EFISCO c AP'!B135</f>
        <v>391508199.6</v>
      </c>
      <c r="C37" s="95">
        <f>'Conciliação DCF X EFISCO c AP'!D135</f>
        <v>1.482</v>
      </c>
      <c r="E37" s="92"/>
      <c r="F37" s="96"/>
      <c r="G37" s="88"/>
      <c r="H37" s="88"/>
      <c r="I37" s="88"/>
      <c r="J37" s="88"/>
      <c r="K37" s="88"/>
      <c r="L37" s="88"/>
      <c r="M37" s="88"/>
      <c r="N37" s="88"/>
      <c r="O37" s="88"/>
      <c r="P37" s="52"/>
      <c r="Q37" s="52"/>
      <c r="R37" s="43"/>
      <c r="S37" s="43"/>
      <c r="T37" s="43"/>
    </row>
    <row r="38" ht="15.75" hidden="1" customHeight="1">
      <c r="A38" s="93" t="s">
        <v>87</v>
      </c>
      <c r="B38" s="94">
        <f>'Conciliação DCF X EFISCO c AP'!B136</f>
        <v>370902504.9</v>
      </c>
      <c r="C38" s="95">
        <f>'Conciliação DCF X EFISCO c AP'!D136</f>
        <v>1.404</v>
      </c>
      <c r="E38" s="92"/>
      <c r="F38" s="96"/>
      <c r="G38" s="88"/>
      <c r="H38" s="88"/>
      <c r="I38" s="88"/>
      <c r="J38" s="88"/>
      <c r="K38" s="88"/>
      <c r="L38" s="88"/>
      <c r="M38" s="88"/>
      <c r="N38" s="88"/>
      <c r="O38" s="88"/>
      <c r="P38" s="52"/>
      <c r="Q38" s="52"/>
      <c r="R38" s="43"/>
      <c r="S38" s="43"/>
      <c r="T38" s="43"/>
    </row>
    <row r="39" ht="9.0" hidden="1" customHeight="1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52"/>
      <c r="Q39" s="52"/>
      <c r="R39" s="43"/>
      <c r="S39" s="43"/>
      <c r="T39" s="43"/>
    </row>
    <row r="40" ht="10.5" hidden="1" customHeight="1">
      <c r="A40" s="102" t="str">
        <f>'Conciliação DCF X EFISCO c AP'!A138</f>
        <v>FONTE: SISTEMA E-FISCO 2019/2020 - DADOS DEFINITIVOS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52"/>
      <c r="Q40" s="52"/>
      <c r="R40" s="43"/>
      <c r="S40" s="43"/>
      <c r="T40" s="43"/>
    </row>
    <row r="41" ht="11.25" hidden="1" customHeight="1">
      <c r="A41" s="102" t="str">
        <f>'Conciliação DCF X EFISCO c AP'!A139</f>
        <v>UNIDADE RESPONSÁVEL: DCF/GEAC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52"/>
      <c r="Q41" s="52"/>
      <c r="R41" s="43"/>
      <c r="S41" s="43"/>
      <c r="T41" s="43"/>
    </row>
    <row r="42" ht="9.75" hidden="1" customHeight="1">
      <c r="A42" s="102" t="str">
        <f>'Conciliação DCF X EFISCO c AP'!A140</f>
        <v>DATA DA EMISSÃO: 28/09/2020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52"/>
      <c r="Q42" s="52"/>
      <c r="R42" s="43"/>
      <c r="S42" s="43"/>
      <c r="T42" s="43"/>
    </row>
    <row r="43" ht="12.0" hidden="1" customHeight="1">
      <c r="A43" s="102" t="str">
        <f>'Conciliação DCF X EFISCO c AP'!A141</f>
        <v>HORA DA EMISSÃO: 10h49min00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52"/>
      <c r="Q43" s="52"/>
      <c r="R43" s="43"/>
      <c r="S43" s="43"/>
      <c r="T43" s="43"/>
    </row>
    <row r="44" ht="10.5" customHeight="1">
      <c r="A44" s="10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ht="15.75" customHeight="1">
      <c r="A45" s="104" t="s">
        <v>88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6"/>
      <c r="P45" s="43"/>
      <c r="Q45" s="43"/>
      <c r="R45" s="43"/>
      <c r="S45" s="43"/>
      <c r="T45" s="43"/>
    </row>
    <row r="46" ht="15.75" customHeight="1">
      <c r="A46" s="107" t="s">
        <v>89</v>
      </c>
      <c r="O46" s="108"/>
      <c r="P46" s="43"/>
      <c r="Q46" s="43"/>
      <c r="R46" s="43"/>
      <c r="S46" s="43"/>
      <c r="T46" s="43"/>
    </row>
    <row r="47" ht="15.75" customHeight="1">
      <c r="A47" s="107" t="s">
        <v>90</v>
      </c>
      <c r="O47" s="108"/>
      <c r="P47" s="43"/>
      <c r="Q47" s="43"/>
      <c r="R47" s="43"/>
      <c r="S47" s="43"/>
      <c r="T47" s="43"/>
    </row>
    <row r="48" ht="15.75" customHeight="1">
      <c r="A48" s="107" t="s">
        <v>91</v>
      </c>
      <c r="O48" s="108"/>
      <c r="P48" s="43"/>
      <c r="Q48" s="43"/>
      <c r="R48" s="43"/>
      <c r="S48" s="43"/>
      <c r="T48" s="43"/>
    </row>
    <row r="49" ht="15.75" customHeight="1">
      <c r="A49" s="107" t="s">
        <v>92</v>
      </c>
      <c r="O49" s="108"/>
      <c r="P49" s="43"/>
      <c r="Q49" s="43"/>
      <c r="R49" s="43"/>
      <c r="S49" s="43"/>
      <c r="T49" s="43"/>
    </row>
    <row r="50" ht="15.75" customHeight="1">
      <c r="A50" s="107" t="s">
        <v>93</v>
      </c>
      <c r="O50" s="108"/>
      <c r="P50" s="43"/>
      <c r="Q50" s="43"/>
      <c r="R50" s="43"/>
      <c r="S50" s="43"/>
      <c r="T50" s="43"/>
    </row>
    <row r="51" ht="15.75" customHeight="1">
      <c r="A51" s="109" t="s">
        <v>94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1"/>
      <c r="P51" s="43"/>
      <c r="Q51" s="43"/>
      <c r="R51" s="43"/>
      <c r="S51" s="43"/>
      <c r="T51" s="43"/>
    </row>
    <row r="52" ht="15.75" customHeight="1">
      <c r="A52" s="112"/>
      <c r="P52" s="43"/>
      <c r="Q52" s="43"/>
      <c r="R52" s="43"/>
      <c r="S52" s="43"/>
      <c r="T52" s="43"/>
    </row>
    <row r="53" ht="15.75" customHeight="1">
      <c r="A53" s="76" t="s">
        <v>95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ht="15.75" customHeight="1">
      <c r="A54" s="76"/>
      <c r="B54" s="76"/>
      <c r="C54" s="113"/>
      <c r="D54" s="113"/>
      <c r="E54" s="113"/>
      <c r="F54" s="113"/>
      <c r="G54" s="113"/>
      <c r="H54" s="11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</row>
    <row r="55" ht="15.75" customHeight="1">
      <c r="A55" s="114" t="str">
        <f>'Conciliação DCF X EFISCO c AP'!A61</f>
        <v>DESPESA COM PESSOAL</v>
      </c>
      <c r="B55" s="114"/>
      <c r="C55" s="115" t="str">
        <f>'Conciliação DCF X EFISCO c AP'!C61</f>
        <v>TCE</v>
      </c>
      <c r="D55" s="110"/>
      <c r="E55" s="115" t="str">
        <f>'Conciliação DCF X EFISCO c AP'!D61</f>
        <v>EFISCO</v>
      </c>
      <c r="F55" s="110"/>
      <c r="G55" s="115" t="str">
        <f>'Conciliação DCF X EFISCO c AP'!E61</f>
        <v>DIFERENÇA</v>
      </c>
      <c r="H55" s="110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ht="15.75" customHeight="1">
      <c r="A56" s="76" t="str">
        <f>'Conciliação DCF X EFISCO c AP'!A62</f>
        <v>Pessoal Ativo</v>
      </c>
      <c r="B56" s="43"/>
      <c r="C56" s="116">
        <f>'Conciliação DCF X EFISCO c AP'!C62</f>
        <v>315046306.4</v>
      </c>
      <c r="E56" s="117">
        <f>'Conciliação DCF X EFISCO c AP'!D62</f>
        <v>316754635.2</v>
      </c>
      <c r="G56" s="118">
        <f>'Conciliação DCF X EFISCO c AP'!E62</f>
        <v>-1708328.76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ht="15.75" customHeight="1">
      <c r="A57" s="43" t="str">
        <f>'Conciliação DCF X EFISCO c AP'!A63</f>
        <v>Vencimentos e Vantagens </v>
      </c>
      <c r="B57" s="43"/>
      <c r="C57" s="116">
        <f>'Conciliação DCF X EFISCO c AP'!C63</f>
        <v>249351931.8</v>
      </c>
      <c r="E57" s="117">
        <f>'Conciliação DCF X EFISCO c AP'!D63</f>
        <v>249351931.8</v>
      </c>
      <c r="G57" s="119">
        <f>'Conciliação DCF X EFISCO c AP'!E63</f>
        <v>0</v>
      </c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ht="15.75" customHeight="1">
      <c r="A58" s="43" t="str">
        <f>'Conciliação DCF X EFISCO c AP'!A64</f>
        <v>Obrigações Patronais - Ativo</v>
      </c>
      <c r="B58" s="43"/>
      <c r="C58" s="116">
        <f>'Conciliação DCF X EFISCO c AP'!C64</f>
        <v>65694374.67</v>
      </c>
      <c r="E58" s="119">
        <f>'Conciliação DCF X EFISCO c AP'!D64</f>
        <v>67402703.43</v>
      </c>
      <c r="G58" s="118">
        <f>'Conciliação DCF X EFISCO c AP'!E64</f>
        <v>-1708328.76</v>
      </c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ht="15.75" customHeight="1">
      <c r="A59" s="120" t="str">
        <f>'Conciliação DCF X EFISCO c AP'!A65</f>
        <v>Benefícios Previdenciários</v>
      </c>
      <c r="B59" s="120"/>
      <c r="C59" s="121">
        <f>'Conciliação DCF X EFISCO c AP'!C65</f>
        <v>0</v>
      </c>
      <c r="D59" s="110"/>
      <c r="E59" s="122">
        <f>'Conciliação DCF X EFISCO c AP'!D65</f>
        <v>0</v>
      </c>
      <c r="F59" s="110"/>
      <c r="G59" s="122">
        <f>'Conciliação DCF X EFISCO c AP'!E65</f>
        <v>0</v>
      </c>
      <c r="H59" s="110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ht="15.75" customHeight="1">
      <c r="A60" s="76" t="str">
        <f>'Conciliação DCF X EFISCO c AP'!A66</f>
        <v>Pessoal Inativo e Pensionistas</v>
      </c>
      <c r="B60" s="43"/>
      <c r="C60" s="116">
        <f>'Conciliação DCF X EFISCO c AP'!C66</f>
        <v>94213049.99</v>
      </c>
      <c r="E60" s="119">
        <f>'Conciliação DCF X EFISCO c AP'!D66</f>
        <v>94213049.99</v>
      </c>
      <c r="G60" s="119">
        <f>'Conciliação DCF X EFISCO c AP'!E66</f>
        <v>0</v>
      </c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ht="15.75" customHeight="1">
      <c r="A61" s="43" t="str">
        <f>'Conciliação DCF X EFISCO c AP'!A67</f>
        <v>Aposentadorias</v>
      </c>
      <c r="B61" s="43"/>
      <c r="C61" s="116">
        <f>'Conciliação DCF X EFISCO c AP'!C67</f>
        <v>79505473.85</v>
      </c>
      <c r="E61" s="119">
        <f>'Conciliação DCF X EFISCO c AP'!D67</f>
        <v>79505473.85</v>
      </c>
      <c r="G61" s="119">
        <f>'Conciliação DCF X EFISCO c AP'!E67</f>
        <v>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ht="15.75" customHeight="1">
      <c r="A62" s="43" t="str">
        <f>'Conciliação DCF X EFISCO c AP'!A68</f>
        <v>Pensões</v>
      </c>
      <c r="B62" s="43"/>
      <c r="C62" s="116">
        <f>'Conciliação DCF X EFISCO c AP'!C68</f>
        <v>14707576.14</v>
      </c>
      <c r="E62" s="119">
        <f>'Conciliação DCF X EFISCO c AP'!D68</f>
        <v>14707576.14</v>
      </c>
      <c r="G62" s="119">
        <f>'Conciliação DCF X EFISCO c AP'!E68</f>
        <v>0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</row>
    <row r="63" ht="15.75" customHeight="1">
      <c r="A63" s="120" t="str">
        <f>'Conciliação DCF X EFISCO c AP'!A69</f>
        <v>Outros Benefícios Previdenciários</v>
      </c>
      <c r="B63" s="120"/>
      <c r="C63" s="121">
        <f>'Conciliação DCF X EFISCO c AP'!C69</f>
        <v>0</v>
      </c>
      <c r="D63" s="110"/>
      <c r="E63" s="122">
        <f>'Conciliação DCF X EFISCO c AP'!D69</f>
        <v>0</v>
      </c>
      <c r="F63" s="110"/>
      <c r="G63" s="122">
        <f>'Conciliação DCF X EFISCO c AP'!E69</f>
        <v>0</v>
      </c>
      <c r="H63" s="110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ht="15.75" customHeight="1">
      <c r="A64" s="76" t="str">
        <f>'Conciliação DCF X EFISCO c AP'!A70</f>
        <v>Despesa não Computadas (§ 1º do art. 19 da LRF) </v>
      </c>
      <c r="B64" s="43"/>
      <c r="C64" s="123">
        <f>'Conciliação DCF X EFISCO c AP'!C70</f>
        <v>94228607.55</v>
      </c>
      <c r="E64" s="117">
        <f>'Conciliação DCF X EFISCO c AP'!D70</f>
        <v>94228607.55</v>
      </c>
      <c r="G64" s="117">
        <f>'Conciliação DCF X EFISCO c AP'!E70</f>
        <v>0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ht="15.75" customHeight="1">
      <c r="A65" s="43" t="str">
        <f>'Conciliação DCF X EFISCO c AP'!A71</f>
        <v>Indenizações por demissão e Incentivos</v>
      </c>
      <c r="B65" s="43"/>
      <c r="C65" s="123">
        <f>'Conciliação DCF X EFISCO c AP'!C71</f>
        <v>0</v>
      </c>
      <c r="E65" s="117">
        <f>'Conciliação DCF X EFISCO c AP'!D71</f>
        <v>0</v>
      </c>
      <c r="G65" s="117">
        <f>'Conciliação DCF X EFISCO c AP'!E71</f>
        <v>0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66" ht="15.75" customHeight="1">
      <c r="A66" s="43" t="str">
        <f>'Conciliação DCF X EFISCO c AP'!A72</f>
        <v>Decorrentes Decisão Judicial período anterior</v>
      </c>
      <c r="B66" s="124"/>
      <c r="C66" s="123">
        <f>'Conciliação DCF X EFISCO c AP'!C72</f>
        <v>0</v>
      </c>
      <c r="E66" s="117">
        <f>'Conciliação DCF X EFISCO c AP'!D72</f>
        <v>0</v>
      </c>
      <c r="G66" s="117">
        <f>'Conciliação DCF X EFISCO c AP'!E72</f>
        <v>0</v>
      </c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ht="15.75" customHeight="1">
      <c r="A67" s="43" t="str">
        <f>'Conciliação DCF X EFISCO c AP'!A73</f>
        <v>Inativos e Pensionistas</v>
      </c>
      <c r="B67" s="43"/>
      <c r="C67" s="116">
        <f>'Conciliação DCF X EFISCO c AP'!C73</f>
        <v>94213049.99</v>
      </c>
      <c r="E67" s="119">
        <f>'Conciliação DCF X EFISCO c AP'!D73</f>
        <v>94213049.99</v>
      </c>
      <c r="G67" s="119">
        <f>'Conciliação DCF X EFISCO c AP'!E73</f>
        <v>0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ht="15.75" customHeight="1">
      <c r="A68" s="120" t="str">
        <f>'Conciliação DCF X EFISCO c AP'!A74</f>
        <v>DEA período anterior ao da apuração</v>
      </c>
      <c r="B68" s="120"/>
      <c r="C68" s="121">
        <f>'Conciliação DCF X EFISCO c AP'!C74</f>
        <v>15557.56</v>
      </c>
      <c r="D68" s="110"/>
      <c r="E68" s="122">
        <f>'Conciliação DCF X EFISCO c AP'!D74</f>
        <v>15557.56</v>
      </c>
      <c r="F68" s="110"/>
      <c r="G68" s="122">
        <f>'Conciliação DCF X EFISCO c AP'!E74</f>
        <v>0</v>
      </c>
      <c r="H68" s="110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</row>
    <row r="69" ht="15.75" customHeight="1">
      <c r="A69" s="43" t="str">
        <f>'Conciliação DCF X EFISCO c AP'!A75</f>
        <v/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ht="15.7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</row>
    <row r="71" ht="15.7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ht="15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</row>
    <row r="73" ht="15.7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ht="15.7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ht="15.7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ht="15.7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ht="15.7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ht="15.7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ht="15.7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ht="15.7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ht="15.7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ht="15.7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ht="15.7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ht="15.7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ht="15.7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ht="15.7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ht="15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ht="15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E63:F63"/>
    <mergeCell ref="G63:H63"/>
    <mergeCell ref="C61:D61"/>
    <mergeCell ref="E61:F61"/>
    <mergeCell ref="G61:H61"/>
    <mergeCell ref="C62:D62"/>
    <mergeCell ref="E62:F62"/>
    <mergeCell ref="G62:H62"/>
    <mergeCell ref="C63:D63"/>
    <mergeCell ref="E66:F66"/>
    <mergeCell ref="G66:H66"/>
    <mergeCell ref="C67:D67"/>
    <mergeCell ref="E67:F67"/>
    <mergeCell ref="G67:H67"/>
    <mergeCell ref="C68:D68"/>
    <mergeCell ref="E68:F68"/>
    <mergeCell ref="G68:H68"/>
    <mergeCell ref="C64:D64"/>
    <mergeCell ref="E64:F64"/>
    <mergeCell ref="G64:H64"/>
    <mergeCell ref="C65:D65"/>
    <mergeCell ref="E65:F65"/>
    <mergeCell ref="G65:H65"/>
    <mergeCell ref="C66:D66"/>
    <mergeCell ref="A1:O1"/>
    <mergeCell ref="A2:O2"/>
    <mergeCell ref="A3:O3"/>
    <mergeCell ref="A4:O4"/>
    <mergeCell ref="A5:O5"/>
    <mergeCell ref="A6:O6"/>
    <mergeCell ref="A7:O7"/>
    <mergeCell ref="A8:O8"/>
    <mergeCell ref="N9:O9"/>
    <mergeCell ref="A10:A13"/>
    <mergeCell ref="B10:O10"/>
    <mergeCell ref="B11:O11"/>
    <mergeCell ref="B12:N12"/>
    <mergeCell ref="O12:O13"/>
    <mergeCell ref="A46:O46"/>
    <mergeCell ref="A47:O47"/>
    <mergeCell ref="A48:O48"/>
    <mergeCell ref="A49:O49"/>
    <mergeCell ref="A50:O50"/>
    <mergeCell ref="A51:O51"/>
    <mergeCell ref="A52:O52"/>
    <mergeCell ref="E57:F57"/>
    <mergeCell ref="G57:H57"/>
    <mergeCell ref="C55:D55"/>
    <mergeCell ref="E55:F55"/>
    <mergeCell ref="G55:H55"/>
    <mergeCell ref="C56:D56"/>
    <mergeCell ref="E56:F56"/>
    <mergeCell ref="G56:H56"/>
    <mergeCell ref="C57:D57"/>
    <mergeCell ref="E60:F60"/>
    <mergeCell ref="G60:H60"/>
    <mergeCell ref="C58:D58"/>
    <mergeCell ref="E58:F58"/>
    <mergeCell ref="G58:H58"/>
    <mergeCell ref="C59:D59"/>
    <mergeCell ref="E59:F59"/>
    <mergeCell ref="G59:H59"/>
    <mergeCell ref="C60:D60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80.29"/>
    <col customWidth="1" min="2" max="2" width="14.43"/>
    <col customWidth="1" min="3" max="3" width="12.86"/>
    <col customWidth="1" min="4" max="4" width="14.29"/>
    <col customWidth="1" min="5" max="5" width="11.43"/>
    <col customWidth="1" min="6" max="6" width="11.14"/>
    <col customWidth="1" min="7" max="7" width="10.57"/>
    <col customWidth="1" min="8" max="8" width="11.14"/>
    <col customWidth="1" min="9" max="9" width="10.71"/>
    <col customWidth="1" min="10" max="10" width="10.86"/>
    <col customWidth="1" min="11" max="11" width="11.14"/>
    <col customWidth="1" min="12" max="12" width="10.57"/>
    <col customWidth="1" min="13" max="13" width="11.29"/>
    <col customWidth="1" min="14" max="14" width="11.57"/>
    <col customWidth="1" min="15" max="15" width="11.86"/>
    <col customWidth="1" min="16" max="20" width="14.43"/>
  </cols>
  <sheetData>
    <row r="1" ht="15.75" customHeight="1">
      <c r="A1" s="125" t="s">
        <v>96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43"/>
      <c r="Q1" s="43"/>
      <c r="R1" s="43"/>
      <c r="S1" s="43"/>
      <c r="T1" s="43"/>
      <c r="U1" s="126"/>
      <c r="V1" s="126"/>
      <c r="W1" s="126"/>
      <c r="X1" s="126"/>
      <c r="Y1" s="126"/>
      <c r="Z1" s="126"/>
    </row>
    <row r="2" ht="15.75" customHeight="1">
      <c r="A2" s="127" t="s">
        <v>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28"/>
      <c r="P2" s="43"/>
      <c r="Q2" s="43"/>
      <c r="R2" s="43"/>
      <c r="S2" s="43"/>
      <c r="T2" s="43"/>
      <c r="U2" s="126"/>
      <c r="V2" s="126"/>
      <c r="W2" s="126"/>
      <c r="X2" s="126"/>
      <c r="Y2" s="126"/>
      <c r="Z2" s="126"/>
    </row>
    <row r="3" ht="15.75" customHeight="1">
      <c r="A3" s="129" t="s">
        <v>98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128"/>
      <c r="P3" s="43"/>
      <c r="Q3" s="43"/>
      <c r="R3" s="43"/>
      <c r="S3" s="43"/>
      <c r="T3" s="43"/>
      <c r="U3" s="126"/>
      <c r="V3" s="126"/>
      <c r="W3" s="126"/>
      <c r="X3" s="126"/>
      <c r="Y3" s="126"/>
      <c r="Z3" s="126"/>
    </row>
    <row r="4" ht="15.75" customHeight="1">
      <c r="A4" s="129" t="s">
        <v>99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128"/>
      <c r="P4" s="130"/>
      <c r="Q4" s="130"/>
      <c r="R4" s="130"/>
      <c r="S4" s="130"/>
      <c r="T4" s="130"/>
      <c r="U4" s="126"/>
      <c r="V4" s="126"/>
      <c r="W4" s="126"/>
      <c r="X4" s="126"/>
      <c r="Y4" s="126"/>
      <c r="Z4" s="126"/>
    </row>
    <row r="5" ht="15.75" customHeight="1">
      <c r="A5" s="127" t="s">
        <v>100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128"/>
      <c r="P5" s="130"/>
      <c r="Q5" s="130"/>
      <c r="R5" s="130"/>
      <c r="S5" s="130"/>
      <c r="T5" s="130"/>
      <c r="U5" s="126"/>
      <c r="V5" s="126"/>
      <c r="W5" s="126"/>
      <c r="X5" s="126"/>
      <c r="Y5" s="126"/>
      <c r="Z5" s="126"/>
    </row>
    <row r="6" ht="15.75" customHeight="1">
      <c r="A6" s="127" t="s">
        <v>101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128"/>
      <c r="P6" s="130"/>
      <c r="Q6" s="130"/>
      <c r="R6" s="130"/>
      <c r="S6" s="130"/>
      <c r="T6" s="130"/>
      <c r="U6" s="126"/>
      <c r="V6" s="126"/>
      <c r="W6" s="126"/>
      <c r="X6" s="126"/>
      <c r="Y6" s="126"/>
      <c r="Z6" s="126"/>
    </row>
    <row r="7" ht="15.75" customHeight="1">
      <c r="A7" s="129" t="s">
        <v>102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28"/>
      <c r="P7" s="130"/>
      <c r="Q7" s="130"/>
      <c r="R7" s="130"/>
      <c r="S7" s="130"/>
      <c r="T7" s="130"/>
      <c r="U7" s="126"/>
      <c r="V7" s="126"/>
      <c r="W7" s="126"/>
      <c r="X7" s="126"/>
      <c r="Y7" s="126"/>
      <c r="Z7" s="126"/>
    </row>
    <row r="8" ht="15.75" customHeight="1">
      <c r="A8" s="127" t="s">
        <v>103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128"/>
      <c r="P8" s="43"/>
      <c r="Q8" s="43"/>
      <c r="R8" s="43"/>
      <c r="S8" s="43"/>
      <c r="T8" s="43"/>
      <c r="U8" s="126"/>
      <c r="V8" s="126"/>
      <c r="W8" s="126"/>
      <c r="X8" s="126"/>
      <c r="Y8" s="126"/>
      <c r="Z8" s="126"/>
    </row>
    <row r="9" ht="15.75" customHeight="1">
      <c r="A9" s="131" t="s">
        <v>54</v>
      </c>
      <c r="B9" s="132"/>
      <c r="C9" s="48"/>
      <c r="D9" s="48"/>
      <c r="E9" s="48"/>
      <c r="F9" s="49"/>
      <c r="G9" s="49"/>
      <c r="H9" s="49"/>
      <c r="I9" s="48"/>
      <c r="J9" s="48"/>
      <c r="K9" s="48"/>
      <c r="L9" s="48"/>
      <c r="M9" s="48"/>
      <c r="N9" s="133">
        <v>1.0</v>
      </c>
      <c r="O9" s="60"/>
      <c r="P9" s="126"/>
      <c r="Q9" s="52"/>
      <c r="R9" s="43"/>
      <c r="S9" s="43"/>
      <c r="T9" s="43"/>
      <c r="U9" s="126"/>
      <c r="V9" s="126"/>
      <c r="W9" s="126"/>
      <c r="X9" s="126"/>
      <c r="Y9" s="126"/>
      <c r="Z9" s="126"/>
    </row>
    <row r="10" ht="15.75" customHeight="1">
      <c r="A10" s="134" t="s">
        <v>55</v>
      </c>
      <c r="B10" s="135" t="s">
        <v>56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6"/>
      <c r="P10" s="52"/>
      <c r="Q10" s="52"/>
      <c r="R10" s="43"/>
      <c r="S10" s="43"/>
      <c r="T10" s="43"/>
      <c r="U10" s="126"/>
      <c r="V10" s="126"/>
      <c r="W10" s="126"/>
      <c r="X10" s="126"/>
      <c r="Y10" s="126"/>
      <c r="Z10" s="126"/>
    </row>
    <row r="11" ht="15.75" customHeight="1">
      <c r="A11" s="57"/>
      <c r="B11" s="136" t="s">
        <v>57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52"/>
      <c r="Q11" s="52"/>
      <c r="R11" s="43"/>
      <c r="S11" s="43"/>
      <c r="T11" s="43"/>
      <c r="U11" s="126"/>
      <c r="V11" s="126"/>
      <c r="W11" s="126"/>
      <c r="X11" s="126"/>
      <c r="Y11" s="126"/>
      <c r="Z11" s="126"/>
    </row>
    <row r="12" ht="15.75" customHeight="1">
      <c r="A12" s="57"/>
      <c r="B12" s="137" t="s">
        <v>58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138" t="s">
        <v>59</v>
      </c>
      <c r="P12" s="52"/>
      <c r="Q12" s="52"/>
      <c r="R12" s="43"/>
      <c r="S12" s="43"/>
      <c r="T12" s="43"/>
      <c r="U12" s="126"/>
      <c r="V12" s="126"/>
      <c r="W12" s="126"/>
      <c r="X12" s="126"/>
      <c r="Y12" s="126"/>
      <c r="Z12" s="126"/>
    </row>
    <row r="13" ht="15.75" customHeight="1">
      <c r="A13" s="65"/>
      <c r="B13" s="139">
        <v>43709.0</v>
      </c>
      <c r="C13" s="139">
        <v>43740.0</v>
      </c>
      <c r="D13" s="139">
        <v>43771.0</v>
      </c>
      <c r="E13" s="139">
        <v>43802.0</v>
      </c>
      <c r="F13" s="139">
        <v>43833.0</v>
      </c>
      <c r="G13" s="139">
        <v>43864.0</v>
      </c>
      <c r="H13" s="139">
        <v>43895.0</v>
      </c>
      <c r="I13" s="139">
        <v>43926.0</v>
      </c>
      <c r="J13" s="139">
        <v>43957.0</v>
      </c>
      <c r="K13" s="139">
        <v>43988.0</v>
      </c>
      <c r="L13" s="139">
        <v>44019.0</v>
      </c>
      <c r="M13" s="139">
        <v>44050.0</v>
      </c>
      <c r="N13" s="140" t="s">
        <v>60</v>
      </c>
      <c r="O13" s="68"/>
      <c r="P13" s="52"/>
      <c r="Q13" s="52"/>
      <c r="R13" s="43"/>
      <c r="S13" s="43"/>
      <c r="T13" s="43"/>
      <c r="U13" s="126"/>
      <c r="V13" s="126"/>
      <c r="W13" s="126"/>
      <c r="X13" s="126"/>
      <c r="Y13" s="126"/>
      <c r="Z13" s="126"/>
    </row>
    <row r="14" ht="15.75" customHeight="1">
      <c r="A14" s="141" t="s">
        <v>61</v>
      </c>
      <c r="B14" s="142">
        <v>3.1925502020000007E7</v>
      </c>
      <c r="C14" s="142">
        <v>3.1725721890000008E7</v>
      </c>
      <c r="D14" s="142">
        <v>3.1680917709999993E7</v>
      </c>
      <c r="E14" s="142">
        <v>6.2164351389999986E7</v>
      </c>
      <c r="F14" s="142">
        <v>3.1435470349999994E7</v>
      </c>
      <c r="G14" s="142">
        <v>3.14387025E7</v>
      </c>
      <c r="H14" s="142">
        <v>3.1441164519999996E7</v>
      </c>
      <c r="I14" s="142">
        <v>3.1397791919999994E7</v>
      </c>
      <c r="J14" s="142">
        <v>3.1503730979999993E7</v>
      </c>
      <c r="K14" s="142">
        <v>3.1468685069999997E7</v>
      </c>
      <c r="L14" s="142">
        <v>3.145682346999999E7</v>
      </c>
      <c r="M14" s="142">
        <v>3.1620494589999996E7</v>
      </c>
      <c r="N14" s="142">
        <v>4.0925935640999997E8</v>
      </c>
      <c r="O14" s="142">
        <v>0.0</v>
      </c>
      <c r="P14" s="52"/>
      <c r="Q14" s="52"/>
      <c r="R14" s="43"/>
      <c r="S14" s="43"/>
      <c r="T14" s="43"/>
      <c r="U14" s="126"/>
      <c r="V14" s="126"/>
      <c r="W14" s="126"/>
      <c r="X14" s="126"/>
      <c r="Y14" s="126"/>
      <c r="Z14" s="126"/>
    </row>
    <row r="15" ht="15.75" customHeight="1">
      <c r="A15" s="141" t="s">
        <v>63</v>
      </c>
      <c r="B15" s="143">
        <v>2.5362826290000007E7</v>
      </c>
      <c r="C15" s="143">
        <v>2.5076537360000007E7</v>
      </c>
      <c r="D15" s="143">
        <v>2.5038667259999994E7</v>
      </c>
      <c r="E15" s="143">
        <v>4.739659004999999E7</v>
      </c>
      <c r="F15" s="143">
        <v>2.4004046829999994E7</v>
      </c>
      <c r="G15" s="143">
        <v>2.400727899E7</v>
      </c>
      <c r="H15" s="143">
        <v>2.3992933929999996E7</v>
      </c>
      <c r="I15" s="143">
        <v>2.3948091829999994E7</v>
      </c>
      <c r="J15" s="143">
        <v>2.4002698639999993E7</v>
      </c>
      <c r="K15" s="143">
        <v>2.4030003269999996E7</v>
      </c>
      <c r="L15" s="143">
        <v>2.4026120229999993E7</v>
      </c>
      <c r="M15" s="143">
        <v>2.4160511739999995E7</v>
      </c>
      <c r="N15" s="143">
        <v>3.1504630642E8</v>
      </c>
      <c r="O15" s="143">
        <v>0.0</v>
      </c>
      <c r="P15" s="75"/>
      <c r="Q15" s="75"/>
      <c r="R15" s="76"/>
      <c r="S15" s="76"/>
      <c r="T15" s="76"/>
      <c r="U15" s="126"/>
      <c r="V15" s="126"/>
      <c r="W15" s="126"/>
      <c r="X15" s="126"/>
      <c r="Y15" s="126"/>
      <c r="Z15" s="126"/>
    </row>
    <row r="16" ht="15.75" customHeight="1">
      <c r="A16" s="144" t="s">
        <v>64</v>
      </c>
      <c r="B16" s="145">
        <v>2.0127170870000005E7</v>
      </c>
      <c r="C16" s="145">
        <v>1.9862875110000007E7</v>
      </c>
      <c r="D16" s="145">
        <v>1.9837131299999993E7</v>
      </c>
      <c r="E16" s="145">
        <v>3.748916029999999E7</v>
      </c>
      <c r="F16" s="145">
        <v>1.9007127109999996E7</v>
      </c>
      <c r="G16" s="145">
        <v>1.900958456E7</v>
      </c>
      <c r="H16" s="145">
        <v>1.8996414699999996E7</v>
      </c>
      <c r="I16" s="145">
        <v>1.8961417529999994E7</v>
      </c>
      <c r="J16" s="145">
        <v>1.9006803369999994E7</v>
      </c>
      <c r="K16" s="145">
        <v>1.9031194329999994E7</v>
      </c>
      <c r="L16" s="145">
        <v>1.9027618919999994E7</v>
      </c>
      <c r="M16" s="145">
        <v>1.8995433649999995E7</v>
      </c>
      <c r="N16" s="145">
        <v>2.4935193174999994E8</v>
      </c>
      <c r="O16" s="145">
        <v>0.0</v>
      </c>
      <c r="P16" s="52"/>
      <c r="Q16" s="52"/>
      <c r="R16" s="43"/>
      <c r="S16" s="43"/>
      <c r="T16" s="43"/>
      <c r="U16" s="126"/>
      <c r="V16" s="126"/>
      <c r="W16" s="126"/>
      <c r="X16" s="126"/>
      <c r="Y16" s="126"/>
      <c r="Z16" s="126"/>
    </row>
    <row r="17" ht="15.75" customHeight="1">
      <c r="A17" s="144" t="s">
        <v>65</v>
      </c>
      <c r="B17" s="145">
        <v>5235655.42</v>
      </c>
      <c r="C17" s="145">
        <v>5213662.25</v>
      </c>
      <c r="D17" s="145">
        <v>5201535.96</v>
      </c>
      <c r="E17" s="145">
        <v>9907429.75</v>
      </c>
      <c r="F17" s="145">
        <v>4996919.72</v>
      </c>
      <c r="G17" s="145">
        <v>4997694.43</v>
      </c>
      <c r="H17" s="145">
        <v>4996519.23</v>
      </c>
      <c r="I17" s="145">
        <v>4986674.3</v>
      </c>
      <c r="J17" s="145">
        <v>4995895.27</v>
      </c>
      <c r="K17" s="145">
        <v>4998808.94</v>
      </c>
      <c r="L17" s="145">
        <v>4998501.31</v>
      </c>
      <c r="M17" s="145">
        <v>5165078.09</v>
      </c>
      <c r="N17" s="145">
        <v>6.569437467E7</v>
      </c>
      <c r="O17" s="145">
        <v>0.0</v>
      </c>
      <c r="P17" s="52"/>
      <c r="Q17" s="52"/>
      <c r="R17" s="43"/>
      <c r="S17" s="43"/>
      <c r="T17" s="43"/>
      <c r="U17" s="126"/>
      <c r="V17" s="126"/>
      <c r="W17" s="126"/>
      <c r="X17" s="126"/>
      <c r="Y17" s="126"/>
      <c r="Z17" s="126"/>
    </row>
    <row r="18" ht="15.75" customHeight="1">
      <c r="A18" s="144" t="s">
        <v>66</v>
      </c>
      <c r="B18" s="145">
        <v>0.0</v>
      </c>
      <c r="C18" s="145">
        <v>0.0</v>
      </c>
      <c r="D18" s="145">
        <v>0.0</v>
      </c>
      <c r="E18" s="145">
        <v>0.0</v>
      </c>
      <c r="F18" s="145">
        <v>0.0</v>
      </c>
      <c r="G18" s="145">
        <v>0.0</v>
      </c>
      <c r="H18" s="145">
        <v>0.0</v>
      </c>
      <c r="I18" s="145">
        <v>0.0</v>
      </c>
      <c r="J18" s="145">
        <v>0.0</v>
      </c>
      <c r="K18" s="145">
        <v>0.0</v>
      </c>
      <c r="L18" s="145">
        <v>0.0</v>
      </c>
      <c r="M18" s="145">
        <v>0.0</v>
      </c>
      <c r="N18" s="145">
        <v>0.0</v>
      </c>
      <c r="O18" s="145">
        <v>0.0</v>
      </c>
      <c r="P18" s="52"/>
      <c r="Q18" s="52"/>
      <c r="R18" s="43"/>
      <c r="S18" s="43"/>
      <c r="T18" s="43"/>
      <c r="U18" s="126"/>
      <c r="V18" s="126"/>
      <c r="W18" s="126"/>
      <c r="X18" s="126"/>
      <c r="Y18" s="126"/>
      <c r="Z18" s="126"/>
    </row>
    <row r="19" ht="15.75" customHeight="1">
      <c r="A19" s="141" t="s">
        <v>67</v>
      </c>
      <c r="B19" s="143">
        <v>6562675.73</v>
      </c>
      <c r="C19" s="143">
        <v>6649184.529999999</v>
      </c>
      <c r="D19" s="143">
        <v>6642250.45</v>
      </c>
      <c r="E19" s="143">
        <v>1.476776134E7</v>
      </c>
      <c r="F19" s="143">
        <v>7431423.52</v>
      </c>
      <c r="G19" s="143">
        <v>7431423.51</v>
      </c>
      <c r="H19" s="143">
        <v>7448230.59</v>
      </c>
      <c r="I19" s="143">
        <v>7449700.09</v>
      </c>
      <c r="J19" s="143">
        <v>7501032.34</v>
      </c>
      <c r="K19" s="143">
        <v>7438681.8</v>
      </c>
      <c r="L19" s="143">
        <v>7430703.24</v>
      </c>
      <c r="M19" s="143">
        <v>7459982.85</v>
      </c>
      <c r="N19" s="143">
        <v>9.421304998999998E7</v>
      </c>
      <c r="O19" s="143">
        <v>0.0</v>
      </c>
      <c r="P19" s="75"/>
      <c r="Q19" s="75"/>
      <c r="R19" s="76"/>
      <c r="S19" s="76"/>
      <c r="T19" s="76"/>
      <c r="U19" s="126"/>
      <c r="V19" s="126"/>
      <c r="W19" s="126"/>
      <c r="X19" s="126"/>
      <c r="Y19" s="126"/>
      <c r="Z19" s="126"/>
    </row>
    <row r="20" ht="15.75" customHeight="1">
      <c r="A20" s="144" t="s">
        <v>68</v>
      </c>
      <c r="B20" s="145">
        <v>5465102.42</v>
      </c>
      <c r="C20" s="145">
        <v>5525353.81</v>
      </c>
      <c r="D20" s="145">
        <v>5521522.71</v>
      </c>
      <c r="E20" s="145">
        <v>1.256591286E7</v>
      </c>
      <c r="F20" s="145">
        <v>6282956.43</v>
      </c>
      <c r="G20" s="145">
        <v>6282956.43</v>
      </c>
      <c r="H20" s="145">
        <v>6304173.68</v>
      </c>
      <c r="I20" s="145">
        <v>6305643.18</v>
      </c>
      <c r="J20" s="145">
        <v>6305643.18</v>
      </c>
      <c r="K20" s="145">
        <v>6305643.18</v>
      </c>
      <c r="L20" s="145">
        <v>6305643.18</v>
      </c>
      <c r="M20" s="145">
        <v>6334922.79</v>
      </c>
      <c r="N20" s="145">
        <v>7.950547385000001E7</v>
      </c>
      <c r="O20" s="145">
        <v>0.0</v>
      </c>
      <c r="P20" s="52"/>
      <c r="Q20" s="52"/>
      <c r="R20" s="43"/>
      <c r="S20" s="43"/>
      <c r="T20" s="43"/>
      <c r="U20" s="126"/>
      <c r="V20" s="126"/>
      <c r="W20" s="126"/>
      <c r="X20" s="126"/>
      <c r="Y20" s="126"/>
      <c r="Z20" s="126"/>
    </row>
    <row r="21" ht="15.75" customHeight="1">
      <c r="A21" s="144" t="s">
        <v>69</v>
      </c>
      <c r="B21" s="145">
        <v>1097573.31</v>
      </c>
      <c r="C21" s="145">
        <v>1123830.72</v>
      </c>
      <c r="D21" s="145">
        <v>1120727.74</v>
      </c>
      <c r="E21" s="145">
        <v>2201848.48</v>
      </c>
      <c r="F21" s="145">
        <v>1148467.09</v>
      </c>
      <c r="G21" s="145">
        <v>1148467.08</v>
      </c>
      <c r="H21" s="145">
        <v>1144056.91</v>
      </c>
      <c r="I21" s="145">
        <v>1144056.91</v>
      </c>
      <c r="J21" s="145">
        <v>1195389.16</v>
      </c>
      <c r="K21" s="145">
        <v>1133038.62</v>
      </c>
      <c r="L21" s="145">
        <v>1125060.06</v>
      </c>
      <c r="M21" s="145">
        <v>1125060.06</v>
      </c>
      <c r="N21" s="145">
        <v>1.470757614E7</v>
      </c>
      <c r="O21" s="145">
        <v>0.0</v>
      </c>
      <c r="P21" s="52"/>
      <c r="Q21" s="52"/>
      <c r="R21" s="43"/>
      <c r="S21" s="43"/>
      <c r="T21" s="43"/>
      <c r="U21" s="126"/>
      <c r="V21" s="126"/>
      <c r="W21" s="126"/>
      <c r="X21" s="126"/>
      <c r="Y21" s="126"/>
      <c r="Z21" s="126"/>
    </row>
    <row r="22" ht="15.75" customHeight="1">
      <c r="A22" s="144" t="s">
        <v>70</v>
      </c>
      <c r="B22" s="145">
        <v>0.0</v>
      </c>
      <c r="C22" s="145">
        <v>0.0</v>
      </c>
      <c r="D22" s="145">
        <v>0.0</v>
      </c>
      <c r="E22" s="145">
        <v>0.0</v>
      </c>
      <c r="F22" s="145">
        <v>0.0</v>
      </c>
      <c r="G22" s="145">
        <v>0.0</v>
      </c>
      <c r="H22" s="145">
        <v>0.0</v>
      </c>
      <c r="I22" s="145">
        <v>0.0</v>
      </c>
      <c r="J22" s="145">
        <v>0.0</v>
      </c>
      <c r="K22" s="145">
        <v>0.0</v>
      </c>
      <c r="L22" s="145">
        <v>0.0</v>
      </c>
      <c r="M22" s="145">
        <v>0.0</v>
      </c>
      <c r="N22" s="145">
        <v>0.0</v>
      </c>
      <c r="O22" s="145">
        <v>0.0</v>
      </c>
      <c r="P22" s="52"/>
      <c r="Q22" s="52"/>
      <c r="R22" s="43"/>
      <c r="S22" s="43"/>
      <c r="T22" s="43"/>
      <c r="U22" s="126"/>
      <c r="V22" s="126"/>
      <c r="W22" s="126"/>
      <c r="X22" s="126"/>
      <c r="Y22" s="126"/>
      <c r="Z22" s="126"/>
    </row>
    <row r="23" ht="15.75" customHeight="1">
      <c r="A23" s="144" t="s">
        <v>71</v>
      </c>
      <c r="B23" s="145">
        <v>0.0</v>
      </c>
      <c r="C23" s="145">
        <v>0.0</v>
      </c>
      <c r="D23" s="145">
        <v>0.0</v>
      </c>
      <c r="E23" s="145">
        <v>0.0</v>
      </c>
      <c r="F23" s="145">
        <v>0.0</v>
      </c>
      <c r="G23" s="145">
        <v>0.0</v>
      </c>
      <c r="H23" s="145">
        <v>0.0</v>
      </c>
      <c r="I23" s="145">
        <v>0.0</v>
      </c>
      <c r="J23" s="145">
        <v>0.0</v>
      </c>
      <c r="K23" s="145">
        <v>0.0</v>
      </c>
      <c r="L23" s="145">
        <v>0.0</v>
      </c>
      <c r="M23" s="145">
        <v>0.0</v>
      </c>
      <c r="N23" s="145">
        <v>0.0</v>
      </c>
      <c r="O23" s="145">
        <v>0.0</v>
      </c>
      <c r="P23" s="52"/>
      <c r="Q23" s="52"/>
      <c r="R23" s="43"/>
      <c r="S23" s="43"/>
      <c r="T23" s="43"/>
      <c r="U23" s="126"/>
      <c r="V23" s="126"/>
      <c r="W23" s="126"/>
      <c r="X23" s="126"/>
      <c r="Y23" s="126"/>
      <c r="Z23" s="126"/>
    </row>
    <row r="24" ht="15.75" customHeight="1">
      <c r="A24" s="141" t="s">
        <v>72</v>
      </c>
      <c r="B24" s="143">
        <v>6576379.94</v>
      </c>
      <c r="C24" s="143">
        <v>6650880.129999999</v>
      </c>
      <c r="D24" s="143">
        <v>6642408.2</v>
      </c>
      <c r="E24" s="143">
        <v>1.476776134E7</v>
      </c>
      <c r="F24" s="143">
        <v>7431423.52</v>
      </c>
      <c r="G24" s="143">
        <v>7431423.51</v>
      </c>
      <c r="H24" s="143">
        <v>7448230.59</v>
      </c>
      <c r="I24" s="143">
        <v>7449700.09</v>
      </c>
      <c r="J24" s="143">
        <v>7501032.34</v>
      </c>
      <c r="K24" s="143">
        <v>7438681.8</v>
      </c>
      <c r="L24" s="143">
        <v>7430703.24</v>
      </c>
      <c r="M24" s="143">
        <v>7459982.85</v>
      </c>
      <c r="N24" s="143">
        <v>9.422860754999998E7</v>
      </c>
      <c r="O24" s="143">
        <v>0.0</v>
      </c>
      <c r="P24" s="52"/>
      <c r="Q24" s="52"/>
      <c r="R24" s="43"/>
      <c r="S24" s="43"/>
      <c r="T24" s="43"/>
      <c r="U24" s="126"/>
      <c r="V24" s="126"/>
      <c r="W24" s="126"/>
      <c r="X24" s="126"/>
      <c r="Y24" s="126"/>
      <c r="Z24" s="126"/>
    </row>
    <row r="25" ht="15.75" customHeight="1">
      <c r="A25" s="144" t="s">
        <v>73</v>
      </c>
      <c r="B25" s="145">
        <v>0.0</v>
      </c>
      <c r="C25" s="145">
        <v>0.0</v>
      </c>
      <c r="D25" s="145">
        <v>0.0</v>
      </c>
      <c r="E25" s="145">
        <v>0.0</v>
      </c>
      <c r="F25" s="145">
        <v>0.0</v>
      </c>
      <c r="G25" s="145">
        <v>0.0</v>
      </c>
      <c r="H25" s="145">
        <v>0.0</v>
      </c>
      <c r="I25" s="145">
        <v>0.0</v>
      </c>
      <c r="J25" s="145">
        <v>0.0</v>
      </c>
      <c r="K25" s="145">
        <v>0.0</v>
      </c>
      <c r="L25" s="145">
        <v>0.0</v>
      </c>
      <c r="M25" s="145">
        <v>0.0</v>
      </c>
      <c r="N25" s="145">
        <v>0.0</v>
      </c>
      <c r="O25" s="145">
        <v>0.0</v>
      </c>
      <c r="P25" s="52"/>
      <c r="Q25" s="52"/>
      <c r="R25" s="43"/>
      <c r="S25" s="43"/>
      <c r="T25" s="43"/>
      <c r="U25" s="126"/>
      <c r="V25" s="126"/>
      <c r="W25" s="126"/>
      <c r="X25" s="126"/>
      <c r="Y25" s="126"/>
      <c r="Z25" s="126"/>
    </row>
    <row r="26" ht="15.75" customHeight="1">
      <c r="A26" s="144" t="s">
        <v>74</v>
      </c>
      <c r="B26" s="145">
        <v>0.0</v>
      </c>
      <c r="C26" s="145">
        <v>0.0</v>
      </c>
      <c r="D26" s="145">
        <v>0.0</v>
      </c>
      <c r="E26" s="145">
        <v>0.0</v>
      </c>
      <c r="F26" s="145">
        <v>0.0</v>
      </c>
      <c r="G26" s="145">
        <v>0.0</v>
      </c>
      <c r="H26" s="145">
        <v>0.0</v>
      </c>
      <c r="I26" s="145">
        <v>0.0</v>
      </c>
      <c r="J26" s="145">
        <v>0.0</v>
      </c>
      <c r="K26" s="145">
        <v>0.0</v>
      </c>
      <c r="L26" s="145">
        <v>0.0</v>
      </c>
      <c r="M26" s="145">
        <v>0.0</v>
      </c>
      <c r="N26" s="145">
        <v>0.0</v>
      </c>
      <c r="O26" s="145">
        <v>0.0</v>
      </c>
      <c r="P26" s="52"/>
      <c r="Q26" s="52"/>
      <c r="R26" s="43"/>
      <c r="S26" s="43"/>
      <c r="T26" s="43"/>
      <c r="U26" s="126"/>
      <c r="V26" s="126"/>
      <c r="W26" s="126"/>
      <c r="X26" s="126"/>
      <c r="Y26" s="126"/>
      <c r="Z26" s="126"/>
    </row>
    <row r="27" ht="15.75" customHeight="1">
      <c r="A27" s="144" t="s">
        <v>75</v>
      </c>
      <c r="B27" s="145">
        <v>13704.21</v>
      </c>
      <c r="C27" s="145">
        <v>1695.6</v>
      </c>
      <c r="D27" s="145">
        <v>157.75</v>
      </c>
      <c r="E27" s="145">
        <v>0.0</v>
      </c>
      <c r="F27" s="145">
        <v>0.0</v>
      </c>
      <c r="G27" s="145">
        <v>0.0</v>
      </c>
      <c r="H27" s="145">
        <v>0.0</v>
      </c>
      <c r="I27" s="145">
        <v>0.0</v>
      </c>
      <c r="J27" s="145">
        <v>0.0</v>
      </c>
      <c r="K27" s="145">
        <v>0.0</v>
      </c>
      <c r="L27" s="145">
        <v>0.0</v>
      </c>
      <c r="M27" s="145">
        <v>0.0</v>
      </c>
      <c r="N27" s="145">
        <v>15557.56</v>
      </c>
      <c r="O27" s="145">
        <v>0.0</v>
      </c>
      <c r="P27" s="52"/>
      <c r="Q27" s="52"/>
      <c r="R27" s="43"/>
      <c r="S27" s="43"/>
      <c r="T27" s="43"/>
      <c r="U27" s="126"/>
      <c r="V27" s="126"/>
      <c r="W27" s="126"/>
      <c r="X27" s="126"/>
      <c r="Y27" s="126"/>
      <c r="Z27" s="126"/>
    </row>
    <row r="28" ht="15.75" customHeight="1">
      <c r="A28" s="144" t="s">
        <v>76</v>
      </c>
      <c r="B28" s="145">
        <v>6562675.73</v>
      </c>
      <c r="C28" s="145">
        <v>6649184.529999999</v>
      </c>
      <c r="D28" s="145">
        <v>6642250.45</v>
      </c>
      <c r="E28" s="145">
        <v>1.476776134E7</v>
      </c>
      <c r="F28" s="145">
        <v>7431423.52</v>
      </c>
      <c r="G28" s="145">
        <v>7431423.51</v>
      </c>
      <c r="H28" s="145">
        <v>7448230.59</v>
      </c>
      <c r="I28" s="145">
        <v>7449700.09</v>
      </c>
      <c r="J28" s="145">
        <v>7501032.34</v>
      </c>
      <c r="K28" s="145">
        <v>7438681.8</v>
      </c>
      <c r="L28" s="145">
        <v>7430703.24</v>
      </c>
      <c r="M28" s="145">
        <v>7459982.85</v>
      </c>
      <c r="N28" s="145">
        <v>9.421304998999998E7</v>
      </c>
      <c r="O28" s="146">
        <v>0.0</v>
      </c>
      <c r="P28" s="52"/>
      <c r="Q28" s="52"/>
      <c r="R28" s="43"/>
      <c r="S28" s="43"/>
      <c r="T28" s="43"/>
      <c r="U28" s="126"/>
      <c r="V28" s="126"/>
      <c r="W28" s="126"/>
      <c r="X28" s="126"/>
      <c r="Y28" s="126"/>
      <c r="Z28" s="126"/>
    </row>
    <row r="29" ht="15.75" customHeight="1">
      <c r="A29" s="147" t="s">
        <v>77</v>
      </c>
      <c r="B29" s="148">
        <v>2.5349122080000006E7</v>
      </c>
      <c r="C29" s="148">
        <v>2.507484176000001E7</v>
      </c>
      <c r="D29" s="148">
        <v>2.5038509509999994E7</v>
      </c>
      <c r="E29" s="148">
        <v>4.739659004999998E7</v>
      </c>
      <c r="F29" s="148">
        <v>2.4004046829999994E7</v>
      </c>
      <c r="G29" s="148">
        <v>2.4007278990000002E7</v>
      </c>
      <c r="H29" s="148">
        <v>2.3992933929999996E7</v>
      </c>
      <c r="I29" s="148">
        <v>2.3948091829999994E7</v>
      </c>
      <c r="J29" s="148">
        <v>2.4002698639999993E7</v>
      </c>
      <c r="K29" s="148">
        <v>2.4030003269999996E7</v>
      </c>
      <c r="L29" s="148">
        <v>2.402612022999999E7</v>
      </c>
      <c r="M29" s="148">
        <v>2.4160511739999995E7</v>
      </c>
      <c r="N29" s="148">
        <v>3.1503074886E8</v>
      </c>
      <c r="O29" s="148">
        <v>0.0</v>
      </c>
      <c r="P29" s="52"/>
      <c r="Q29" s="52"/>
      <c r="R29" s="43"/>
      <c r="S29" s="43"/>
      <c r="T29" s="43"/>
      <c r="U29" s="126"/>
      <c r="V29" s="126"/>
      <c r="W29" s="126"/>
      <c r="X29" s="126"/>
      <c r="Y29" s="126"/>
      <c r="Z29" s="126"/>
    </row>
    <row r="30" ht="15.75" customHeight="1">
      <c r="A30" s="149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8"/>
      <c r="O30" s="150"/>
      <c r="P30" s="52"/>
      <c r="Q30" s="52"/>
      <c r="R30" s="43"/>
      <c r="S30" s="43"/>
      <c r="T30" s="43"/>
      <c r="U30" s="126"/>
      <c r="V30" s="126"/>
      <c r="W30" s="126"/>
      <c r="X30" s="126"/>
      <c r="Y30" s="126"/>
      <c r="Z30" s="126"/>
    </row>
    <row r="31" ht="15.75" customHeight="1">
      <c r="A31" s="89" t="s">
        <v>78</v>
      </c>
      <c r="B31" s="151" t="s">
        <v>79</v>
      </c>
      <c r="C31" s="152"/>
      <c r="D31" s="153" t="s">
        <v>80</v>
      </c>
      <c r="E31" s="92"/>
      <c r="F31" s="88"/>
      <c r="G31" s="88"/>
      <c r="H31" s="88"/>
      <c r="I31" s="88"/>
      <c r="J31" s="88"/>
      <c r="K31" s="88"/>
      <c r="L31" s="88"/>
      <c r="M31" s="88"/>
      <c r="N31" s="88"/>
      <c r="O31" s="150"/>
      <c r="P31" s="52"/>
      <c r="Q31" s="52"/>
      <c r="R31" s="43"/>
      <c r="S31" s="43"/>
      <c r="T31" s="43"/>
      <c r="U31" s="126"/>
      <c r="V31" s="126"/>
      <c r="W31" s="126"/>
      <c r="X31" s="126"/>
      <c r="Y31" s="126"/>
      <c r="Z31" s="126"/>
    </row>
    <row r="32" ht="15.75" customHeight="1">
      <c r="A32" s="154" t="s">
        <v>81</v>
      </c>
      <c r="B32" s="155">
        <v>2.649398972574E10</v>
      </c>
      <c r="C32" s="110"/>
      <c r="D32" s="156"/>
      <c r="E32" s="87"/>
      <c r="F32" s="96"/>
      <c r="G32" s="88"/>
      <c r="H32" s="88"/>
      <c r="I32" s="88"/>
      <c r="J32" s="88"/>
      <c r="K32" s="88"/>
      <c r="L32" s="97"/>
      <c r="M32" s="88"/>
      <c r="N32" s="97"/>
      <c r="O32" s="150"/>
      <c r="P32" s="52"/>
      <c r="Q32" s="52"/>
      <c r="R32" s="43"/>
      <c r="S32" s="43"/>
      <c r="T32" s="43"/>
      <c r="U32" s="126"/>
      <c r="V32" s="126"/>
      <c r="W32" s="126"/>
      <c r="X32" s="126"/>
      <c r="Y32" s="126"/>
      <c r="Z32" s="126"/>
    </row>
    <row r="33" ht="15.75" customHeight="1">
      <c r="A33" s="154" t="s">
        <v>104</v>
      </c>
      <c r="B33" s="155">
        <v>2.1510682E7</v>
      </c>
      <c r="C33" s="110"/>
      <c r="D33" s="156"/>
      <c r="E33" s="98"/>
      <c r="F33" s="96"/>
      <c r="G33" s="88"/>
      <c r="H33" s="88"/>
      <c r="I33" s="88"/>
      <c r="J33" s="88"/>
      <c r="K33" s="88"/>
      <c r="L33" s="88"/>
      <c r="M33" s="88"/>
      <c r="N33" s="88"/>
      <c r="O33" s="150"/>
      <c r="P33" s="52"/>
      <c r="Q33" s="52"/>
      <c r="R33" s="43"/>
      <c r="S33" s="43"/>
      <c r="T33" s="43"/>
      <c r="U33" s="126"/>
      <c r="V33" s="126"/>
      <c r="W33" s="126"/>
      <c r="X33" s="126"/>
      <c r="Y33" s="126"/>
      <c r="Z33" s="126"/>
    </row>
    <row r="34" ht="15.75" customHeight="1">
      <c r="A34" s="154" t="s">
        <v>105</v>
      </c>
      <c r="B34" s="155">
        <v>5.4921718E7</v>
      </c>
      <c r="C34" s="110"/>
      <c r="D34" s="156"/>
      <c r="E34" s="98"/>
      <c r="F34" s="96"/>
      <c r="G34" s="96"/>
      <c r="H34" s="88"/>
      <c r="I34" s="88"/>
      <c r="J34" s="88"/>
      <c r="K34" s="88"/>
      <c r="L34" s="88"/>
      <c r="M34" s="88"/>
      <c r="N34" s="88"/>
      <c r="O34" s="150"/>
      <c r="P34" s="52"/>
      <c r="Q34" s="52"/>
      <c r="R34" s="43"/>
      <c r="S34" s="43"/>
      <c r="T34" s="43"/>
      <c r="U34" s="126"/>
      <c r="V34" s="126"/>
      <c r="W34" s="126"/>
      <c r="X34" s="126"/>
      <c r="Y34" s="126"/>
      <c r="Z34" s="126"/>
    </row>
    <row r="35" ht="15.75" customHeight="1">
      <c r="A35" s="154" t="s">
        <v>106</v>
      </c>
      <c r="B35" s="157">
        <v>2.641755732574E10</v>
      </c>
      <c r="C35" s="110"/>
      <c r="D35" s="156"/>
      <c r="E35" s="98"/>
      <c r="F35" s="96"/>
      <c r="G35" s="96"/>
      <c r="H35" s="88"/>
      <c r="I35" s="88"/>
      <c r="J35" s="88"/>
      <c r="K35" s="88"/>
      <c r="L35" s="88"/>
      <c r="M35" s="88"/>
      <c r="N35" s="88"/>
      <c r="O35" s="150"/>
      <c r="P35" s="52"/>
      <c r="Q35" s="52"/>
      <c r="R35" s="43"/>
      <c r="S35" s="43"/>
      <c r="T35" s="43"/>
      <c r="U35" s="126"/>
      <c r="V35" s="126"/>
      <c r="W35" s="126"/>
      <c r="X35" s="126"/>
      <c r="Y35" s="126"/>
      <c r="Z35" s="126"/>
    </row>
    <row r="36" ht="15.75" customHeight="1">
      <c r="A36" s="158" t="s">
        <v>107</v>
      </c>
      <c r="B36" s="159">
        <v>3.1503074886E8</v>
      </c>
      <c r="C36" s="51"/>
      <c r="D36" s="160">
        <v>1.1925052152836595</v>
      </c>
      <c r="E36" s="92"/>
      <c r="F36" s="96"/>
      <c r="G36" s="88"/>
      <c r="H36" s="88"/>
      <c r="I36" s="88"/>
      <c r="J36" s="88"/>
      <c r="K36" s="88"/>
      <c r="L36" s="88"/>
      <c r="M36" s="88"/>
      <c r="N36" s="88"/>
      <c r="O36" s="150"/>
      <c r="P36" s="52"/>
      <c r="Q36" s="52"/>
      <c r="R36" s="43"/>
      <c r="S36" s="43"/>
      <c r="T36" s="43"/>
      <c r="U36" s="126"/>
      <c r="V36" s="126"/>
      <c r="W36" s="126"/>
      <c r="X36" s="126"/>
      <c r="Y36" s="126"/>
      <c r="Z36" s="126"/>
    </row>
    <row r="37" ht="15.75" customHeight="1">
      <c r="A37" s="154" t="s">
        <v>85</v>
      </c>
      <c r="B37" s="155">
        <v>4.1211389428E8</v>
      </c>
      <c r="C37" s="110"/>
      <c r="D37" s="156">
        <v>1.5599999999941552</v>
      </c>
      <c r="E37" s="92"/>
      <c r="F37" s="96"/>
      <c r="G37" s="88"/>
      <c r="H37" s="88"/>
      <c r="I37" s="88"/>
      <c r="J37" s="88"/>
      <c r="K37" s="88"/>
      <c r="L37" s="88"/>
      <c r="M37" s="88"/>
      <c r="N37" s="88"/>
      <c r="O37" s="150"/>
      <c r="P37" s="52"/>
      <c r="Q37" s="52"/>
      <c r="R37" s="43"/>
      <c r="S37" s="43"/>
      <c r="T37" s="43"/>
      <c r="U37" s="126"/>
      <c r="V37" s="126"/>
      <c r="W37" s="126"/>
      <c r="X37" s="126"/>
      <c r="Y37" s="126"/>
      <c r="Z37" s="126"/>
    </row>
    <row r="38" ht="15.75" customHeight="1">
      <c r="A38" s="154" t="s">
        <v>86</v>
      </c>
      <c r="B38" s="155">
        <v>3.9150819957E8</v>
      </c>
      <c r="C38" s="110"/>
      <c r="D38" s="156">
        <v>1.482</v>
      </c>
      <c r="E38" s="92"/>
      <c r="F38" s="96"/>
      <c r="G38" s="88"/>
      <c r="H38" s="88"/>
      <c r="I38" s="88"/>
      <c r="J38" s="88"/>
      <c r="K38" s="88"/>
      <c r="L38" s="88"/>
      <c r="M38" s="88"/>
      <c r="N38" s="88"/>
      <c r="O38" s="150"/>
      <c r="P38" s="52"/>
      <c r="Q38" s="52"/>
      <c r="R38" s="43"/>
      <c r="S38" s="43"/>
      <c r="T38" s="43"/>
      <c r="U38" s="126"/>
      <c r="V38" s="126"/>
      <c r="W38" s="126"/>
      <c r="X38" s="126"/>
      <c r="Y38" s="126"/>
      <c r="Z38" s="126"/>
    </row>
    <row r="39" ht="15.75" customHeight="1">
      <c r="A39" s="154" t="s">
        <v>87</v>
      </c>
      <c r="B39" s="155">
        <v>3.7090250485E8</v>
      </c>
      <c r="C39" s="110"/>
      <c r="D39" s="156">
        <v>1.4040000000000001</v>
      </c>
      <c r="E39" s="92"/>
      <c r="F39" s="96"/>
      <c r="G39" s="88"/>
      <c r="H39" s="88"/>
      <c r="I39" s="88"/>
      <c r="J39" s="88"/>
      <c r="K39" s="88"/>
      <c r="L39" s="88"/>
      <c r="M39" s="88"/>
      <c r="N39" s="88"/>
      <c r="O39" s="150"/>
      <c r="P39" s="52"/>
      <c r="Q39" s="52"/>
      <c r="R39" s="43"/>
      <c r="S39" s="43"/>
      <c r="T39" s="43"/>
      <c r="U39" s="126"/>
      <c r="V39" s="126"/>
      <c r="W39" s="126"/>
      <c r="X39" s="126"/>
      <c r="Y39" s="126"/>
      <c r="Z39" s="126"/>
    </row>
    <row r="40" ht="9.0" customHeight="1">
      <c r="A40" s="161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150"/>
      <c r="P40" s="52"/>
      <c r="Q40" s="52"/>
      <c r="R40" s="43"/>
      <c r="S40" s="43"/>
      <c r="T40" s="43"/>
      <c r="U40" s="126"/>
      <c r="V40" s="126"/>
      <c r="W40" s="126"/>
      <c r="X40" s="126"/>
      <c r="Y40" s="126"/>
      <c r="Z40" s="126"/>
    </row>
    <row r="41" ht="11.25" customHeight="1">
      <c r="A41" s="162" t="s">
        <v>108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150"/>
      <c r="P41" s="52"/>
      <c r="Q41" s="52"/>
      <c r="R41" s="43"/>
      <c r="S41" s="43"/>
      <c r="T41" s="43"/>
      <c r="U41" s="126"/>
      <c r="V41" s="126"/>
      <c r="W41" s="126"/>
      <c r="X41" s="126"/>
      <c r="Y41" s="126"/>
      <c r="Z41" s="126"/>
    </row>
    <row r="42" ht="11.25" customHeight="1">
      <c r="A42" s="162" t="s">
        <v>109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150"/>
      <c r="P42" s="52"/>
      <c r="Q42" s="52"/>
      <c r="R42" s="43"/>
      <c r="S42" s="43"/>
      <c r="T42" s="43"/>
      <c r="U42" s="126"/>
      <c r="V42" s="126"/>
      <c r="W42" s="126"/>
      <c r="X42" s="126"/>
      <c r="Y42" s="126"/>
      <c r="Z42" s="126"/>
    </row>
    <row r="43" ht="11.25" customHeight="1">
      <c r="A43" s="162" t="s">
        <v>110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150"/>
      <c r="P43" s="52"/>
      <c r="Q43" s="52"/>
      <c r="R43" s="43"/>
      <c r="S43" s="43"/>
      <c r="T43" s="43"/>
      <c r="U43" s="126"/>
      <c r="V43" s="126"/>
      <c r="W43" s="126"/>
      <c r="X43" s="126"/>
      <c r="Y43" s="126"/>
      <c r="Z43" s="126"/>
    </row>
    <row r="44" ht="11.25" customHeight="1">
      <c r="A44" s="162" t="s">
        <v>111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150"/>
      <c r="P44" s="52"/>
      <c r="Q44" s="52"/>
      <c r="R44" s="43"/>
      <c r="S44" s="43"/>
      <c r="T44" s="43"/>
      <c r="U44" s="126"/>
      <c r="V44" s="126"/>
      <c r="W44" s="126"/>
      <c r="X44" s="126"/>
      <c r="Y44" s="126"/>
      <c r="Z44" s="126"/>
    </row>
    <row r="45" ht="11.25" customHeight="1">
      <c r="A45" s="163" t="s">
        <v>112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64"/>
      <c r="P45" s="43"/>
      <c r="Q45" s="43"/>
      <c r="R45" s="43"/>
      <c r="S45" s="43"/>
      <c r="T45" s="43"/>
      <c r="U45" s="126"/>
      <c r="V45" s="126"/>
      <c r="W45" s="126"/>
      <c r="X45" s="126"/>
      <c r="Y45" s="126"/>
      <c r="Z45" s="126"/>
    </row>
    <row r="46" ht="15.75" customHeight="1">
      <c r="A46" s="104" t="s">
        <v>88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6"/>
      <c r="P46" s="43"/>
      <c r="Q46" s="43"/>
      <c r="R46" s="43"/>
      <c r="S46" s="43"/>
      <c r="T46" s="43"/>
      <c r="U46" s="126"/>
      <c r="V46" s="126"/>
      <c r="W46" s="126"/>
      <c r="X46" s="126"/>
      <c r="Y46" s="126"/>
      <c r="Z46" s="126"/>
    </row>
    <row r="47" ht="15.75" customHeight="1">
      <c r="A47" s="165" t="s">
        <v>113</v>
      </c>
      <c r="O47" s="108"/>
      <c r="P47" s="43"/>
      <c r="Q47" s="43"/>
      <c r="R47" s="43"/>
      <c r="S47" s="43"/>
      <c r="T47" s="43"/>
      <c r="U47" s="126"/>
      <c r="V47" s="126"/>
      <c r="W47" s="126"/>
      <c r="X47" s="126"/>
      <c r="Y47" s="126"/>
      <c r="Z47" s="126"/>
    </row>
    <row r="48" ht="15.75" customHeight="1">
      <c r="A48" s="165" t="s">
        <v>114</v>
      </c>
      <c r="O48" s="108"/>
      <c r="P48" s="43"/>
      <c r="Q48" s="43"/>
      <c r="R48" s="43"/>
      <c r="S48" s="43"/>
      <c r="T48" s="43"/>
      <c r="U48" s="126"/>
      <c r="V48" s="126"/>
      <c r="W48" s="126"/>
      <c r="X48" s="126"/>
      <c r="Y48" s="126"/>
      <c r="Z48" s="126"/>
    </row>
    <row r="49" ht="15.75" customHeight="1">
      <c r="A49" s="165" t="s">
        <v>115</v>
      </c>
      <c r="O49" s="108"/>
      <c r="P49" s="43"/>
      <c r="Q49" s="43"/>
      <c r="R49" s="43"/>
      <c r="S49" s="43"/>
      <c r="T49" s="43"/>
      <c r="U49" s="126"/>
      <c r="V49" s="126"/>
      <c r="W49" s="126"/>
      <c r="X49" s="126"/>
      <c r="Y49" s="126"/>
      <c r="Z49" s="126"/>
    </row>
    <row r="50" ht="15.75" customHeight="1">
      <c r="A50" s="165" t="s">
        <v>92</v>
      </c>
      <c r="O50" s="108"/>
      <c r="P50" s="43"/>
      <c r="Q50" s="43"/>
      <c r="R50" s="43"/>
      <c r="S50" s="43"/>
      <c r="T50" s="43"/>
      <c r="U50" s="126"/>
      <c r="V50" s="126"/>
      <c r="W50" s="126"/>
      <c r="X50" s="126"/>
      <c r="Y50" s="126"/>
      <c r="Z50" s="126"/>
    </row>
    <row r="51" ht="15.75" customHeight="1">
      <c r="A51" s="165" t="s">
        <v>93</v>
      </c>
      <c r="O51" s="108"/>
      <c r="P51" s="43"/>
      <c r="Q51" s="43"/>
      <c r="R51" s="43"/>
      <c r="S51" s="43"/>
      <c r="T51" s="43"/>
      <c r="U51" s="126"/>
      <c r="V51" s="126"/>
      <c r="W51" s="126"/>
      <c r="X51" s="126"/>
      <c r="Y51" s="126"/>
      <c r="Z51" s="126"/>
    </row>
    <row r="52" ht="27.75" customHeight="1">
      <c r="A52" s="166" t="s">
        <v>116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1"/>
      <c r="P52" s="43"/>
      <c r="Q52" s="43"/>
      <c r="R52" s="43"/>
      <c r="S52" s="43"/>
      <c r="T52" s="43"/>
      <c r="U52" s="126"/>
      <c r="V52" s="126"/>
      <c r="W52" s="126"/>
      <c r="X52" s="126"/>
      <c r="Y52" s="126"/>
      <c r="Z52" s="126"/>
    </row>
    <row r="53" ht="15.75" customHeight="1">
      <c r="A53" s="167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9"/>
      <c r="P53" s="43"/>
      <c r="Q53" s="43"/>
      <c r="R53" s="43"/>
      <c r="S53" s="43"/>
      <c r="T53" s="43"/>
      <c r="U53" s="126"/>
      <c r="V53" s="126"/>
      <c r="W53" s="126"/>
      <c r="X53" s="126"/>
      <c r="Y53" s="126"/>
      <c r="Z53" s="126"/>
    </row>
    <row r="54" ht="15.75" customHeight="1">
      <c r="A54" s="170" t="s">
        <v>117</v>
      </c>
      <c r="B54" s="43" t="s">
        <v>118</v>
      </c>
      <c r="C54" s="43"/>
      <c r="D54" s="43"/>
      <c r="E54" s="43"/>
      <c r="F54" s="43" t="s">
        <v>119</v>
      </c>
      <c r="G54" s="43"/>
      <c r="H54" s="43"/>
      <c r="I54" s="43"/>
      <c r="J54" s="43"/>
      <c r="K54" s="43"/>
      <c r="L54" s="43"/>
      <c r="M54" s="43"/>
      <c r="N54" s="43"/>
      <c r="O54" s="164"/>
      <c r="P54" s="43"/>
      <c r="Q54" s="43"/>
      <c r="R54" s="43"/>
      <c r="S54" s="43"/>
      <c r="T54" s="43"/>
      <c r="U54" s="126"/>
      <c r="V54" s="126"/>
      <c r="W54" s="126"/>
      <c r="X54" s="126"/>
      <c r="Y54" s="126"/>
      <c r="Z54" s="126"/>
    </row>
    <row r="55" ht="15.75" customHeight="1">
      <c r="A55" s="170" t="s">
        <v>120</v>
      </c>
      <c r="B55" s="43" t="s">
        <v>121</v>
      </c>
      <c r="C55" s="43"/>
      <c r="D55" s="43"/>
      <c r="E55" s="43"/>
      <c r="F55" s="43" t="s">
        <v>122</v>
      </c>
      <c r="G55" s="43"/>
      <c r="H55" s="43"/>
      <c r="I55" s="43"/>
      <c r="J55" s="43"/>
      <c r="K55" s="43"/>
      <c r="L55" s="43"/>
      <c r="M55" s="43"/>
      <c r="N55" s="43"/>
      <c r="O55" s="164"/>
      <c r="P55" s="43"/>
      <c r="Q55" s="43"/>
      <c r="R55" s="43"/>
      <c r="S55" s="43"/>
      <c r="T55" s="43"/>
      <c r="U55" s="126"/>
      <c r="V55" s="126"/>
      <c r="W55" s="126"/>
      <c r="X55" s="126"/>
      <c r="Y55" s="126"/>
      <c r="Z55" s="126"/>
    </row>
    <row r="56" ht="15.75" customHeight="1">
      <c r="A56" s="171"/>
      <c r="B56" s="120"/>
      <c r="C56" s="120"/>
      <c r="D56" s="120"/>
      <c r="E56" s="120"/>
      <c r="F56" s="120" t="s">
        <v>123</v>
      </c>
      <c r="G56" s="120"/>
      <c r="H56" s="120"/>
      <c r="I56" s="120"/>
      <c r="J56" s="120"/>
      <c r="K56" s="120"/>
      <c r="L56" s="120"/>
      <c r="M56" s="120"/>
      <c r="N56" s="120"/>
      <c r="O56" s="172"/>
      <c r="P56" s="43"/>
      <c r="Q56" s="43"/>
      <c r="R56" s="43"/>
      <c r="S56" s="43"/>
      <c r="T56" s="43"/>
      <c r="U56" s="126"/>
      <c r="V56" s="126"/>
      <c r="W56" s="126"/>
      <c r="X56" s="126"/>
      <c r="Y56" s="126"/>
      <c r="Z56" s="126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126"/>
      <c r="V57" s="126"/>
      <c r="W57" s="126"/>
      <c r="X57" s="126"/>
      <c r="Y57" s="126"/>
      <c r="Z57" s="126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126"/>
      <c r="V58" s="126"/>
      <c r="W58" s="126"/>
      <c r="X58" s="126"/>
      <c r="Y58" s="126"/>
      <c r="Z58" s="126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126"/>
      <c r="V59" s="126"/>
      <c r="W59" s="126"/>
      <c r="X59" s="126"/>
      <c r="Y59" s="126"/>
      <c r="Z59" s="126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126"/>
      <c r="V60" s="126"/>
      <c r="W60" s="126"/>
      <c r="X60" s="126"/>
      <c r="Y60" s="126"/>
      <c r="Z60" s="126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126"/>
      <c r="V61" s="126"/>
      <c r="W61" s="126"/>
      <c r="X61" s="126"/>
      <c r="Y61" s="126"/>
      <c r="Z61" s="126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126"/>
      <c r="V62" s="126"/>
      <c r="W62" s="126"/>
      <c r="X62" s="126"/>
      <c r="Y62" s="126"/>
      <c r="Z62" s="126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126"/>
      <c r="V63" s="126"/>
      <c r="W63" s="126"/>
      <c r="X63" s="126"/>
      <c r="Y63" s="126"/>
      <c r="Z63" s="126"/>
    </row>
    <row r="64" ht="15.7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126"/>
      <c r="V64" s="126"/>
      <c r="W64" s="126"/>
      <c r="X64" s="126"/>
      <c r="Y64" s="126"/>
      <c r="Z64" s="126"/>
    </row>
    <row r="65" ht="15.7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126"/>
      <c r="V65" s="126"/>
      <c r="W65" s="126"/>
      <c r="X65" s="126"/>
      <c r="Y65" s="126"/>
      <c r="Z65" s="126"/>
    </row>
    <row r="66" ht="15.75" customHeight="1">
      <c r="A66" s="43"/>
      <c r="B66" s="124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126"/>
      <c r="V66" s="126"/>
      <c r="W66" s="126"/>
      <c r="X66" s="126"/>
      <c r="Y66" s="126"/>
      <c r="Z66" s="126"/>
    </row>
    <row r="67" ht="15.7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126"/>
      <c r="V67" s="126"/>
      <c r="W67" s="126"/>
      <c r="X67" s="126"/>
      <c r="Y67" s="126"/>
      <c r="Z67" s="126"/>
    </row>
    <row r="68" ht="15.7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126"/>
      <c r="V68" s="126"/>
      <c r="W68" s="126"/>
      <c r="X68" s="126"/>
      <c r="Y68" s="126"/>
      <c r="Z68" s="126"/>
    </row>
    <row r="69" ht="15.7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126"/>
      <c r="V69" s="126"/>
      <c r="W69" s="126"/>
      <c r="X69" s="126"/>
      <c r="Y69" s="126"/>
      <c r="Z69" s="126"/>
    </row>
    <row r="70" ht="15.7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126"/>
      <c r="V70" s="126"/>
      <c r="W70" s="126"/>
      <c r="X70" s="126"/>
      <c r="Y70" s="126"/>
      <c r="Z70" s="126"/>
    </row>
    <row r="71" ht="15.7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126"/>
      <c r="V71" s="126"/>
      <c r="W71" s="126"/>
      <c r="X71" s="126"/>
      <c r="Y71" s="126"/>
      <c r="Z71" s="126"/>
    </row>
    <row r="72" ht="15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126"/>
      <c r="V72" s="126"/>
      <c r="W72" s="126"/>
      <c r="X72" s="126"/>
      <c r="Y72" s="126"/>
      <c r="Z72" s="126"/>
    </row>
    <row r="73" ht="15.7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126"/>
      <c r="V73" s="126"/>
      <c r="W73" s="126"/>
      <c r="X73" s="126"/>
      <c r="Y73" s="126"/>
      <c r="Z73" s="126"/>
    </row>
    <row r="74" ht="15.7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126"/>
      <c r="V74" s="126"/>
      <c r="W74" s="126"/>
      <c r="X74" s="126"/>
      <c r="Y74" s="126"/>
      <c r="Z74" s="126"/>
    </row>
    <row r="75" ht="15.7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26"/>
      <c r="V75" s="126"/>
      <c r="W75" s="126"/>
      <c r="X75" s="126"/>
      <c r="Y75" s="126"/>
      <c r="Z75" s="126"/>
    </row>
    <row r="76" ht="15.7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126"/>
      <c r="V76" s="126"/>
      <c r="W76" s="126"/>
      <c r="X76" s="126"/>
      <c r="Y76" s="126"/>
      <c r="Z76" s="126"/>
    </row>
    <row r="77" ht="15.7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126"/>
      <c r="V77" s="126"/>
      <c r="W77" s="126"/>
      <c r="X77" s="126"/>
      <c r="Y77" s="126"/>
      <c r="Z77" s="126"/>
    </row>
    <row r="78" ht="15.7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126"/>
      <c r="V78" s="126"/>
      <c r="W78" s="126"/>
      <c r="X78" s="126"/>
      <c r="Y78" s="126"/>
      <c r="Z78" s="126"/>
    </row>
    <row r="79" ht="15.7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126"/>
      <c r="V79" s="126"/>
      <c r="W79" s="126"/>
      <c r="X79" s="126"/>
      <c r="Y79" s="126"/>
      <c r="Z79" s="126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126"/>
      <c r="V80" s="126"/>
      <c r="W80" s="126"/>
      <c r="X80" s="126"/>
      <c r="Y80" s="126"/>
      <c r="Z80" s="126"/>
    </row>
    <row r="81" ht="15.7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126"/>
      <c r="V81" s="126"/>
      <c r="W81" s="126"/>
      <c r="X81" s="126"/>
      <c r="Y81" s="126"/>
      <c r="Z81" s="126"/>
    </row>
    <row r="82" ht="15.7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126"/>
      <c r="V82" s="126"/>
      <c r="W82" s="126"/>
      <c r="X82" s="126"/>
      <c r="Y82" s="126"/>
      <c r="Z82" s="126"/>
    </row>
    <row r="83" ht="15.7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126"/>
      <c r="V83" s="126"/>
      <c r="W83" s="126"/>
      <c r="X83" s="126"/>
      <c r="Y83" s="126"/>
      <c r="Z83" s="126"/>
    </row>
    <row r="84" ht="15.7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126"/>
      <c r="V84" s="126"/>
      <c r="W84" s="126"/>
      <c r="X84" s="126"/>
      <c r="Y84" s="126"/>
      <c r="Z84" s="126"/>
    </row>
    <row r="85" ht="15.7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126"/>
      <c r="V85" s="126"/>
      <c r="W85" s="126"/>
      <c r="X85" s="126"/>
      <c r="Y85" s="126"/>
      <c r="Z85" s="126"/>
    </row>
    <row r="86" ht="15.7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126"/>
      <c r="V86" s="126"/>
      <c r="W86" s="126"/>
      <c r="X86" s="126"/>
      <c r="Y86" s="126"/>
      <c r="Z86" s="126"/>
    </row>
    <row r="87" ht="15.7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126"/>
      <c r="V87" s="126"/>
      <c r="W87" s="126"/>
      <c r="X87" s="126"/>
      <c r="Y87" s="126"/>
      <c r="Z87" s="126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126"/>
      <c r="V88" s="126"/>
      <c r="W88" s="126"/>
      <c r="X88" s="126"/>
      <c r="Y88" s="126"/>
      <c r="Z88" s="126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126"/>
      <c r="V89" s="126"/>
      <c r="W89" s="126"/>
      <c r="X89" s="126"/>
      <c r="Y89" s="126"/>
      <c r="Z89" s="126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126"/>
      <c r="V90" s="126"/>
      <c r="W90" s="126"/>
      <c r="X90" s="126"/>
      <c r="Y90" s="126"/>
      <c r="Z90" s="126"/>
    </row>
    <row r="91" ht="15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126"/>
      <c r="V91" s="126"/>
      <c r="W91" s="126"/>
      <c r="X91" s="126"/>
      <c r="Y91" s="126"/>
      <c r="Z91" s="126"/>
    </row>
    <row r="92" ht="15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126"/>
      <c r="V92" s="126"/>
      <c r="W92" s="126"/>
      <c r="X92" s="126"/>
      <c r="Y92" s="126"/>
      <c r="Z92" s="126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126"/>
      <c r="V93" s="126"/>
      <c r="W93" s="126"/>
      <c r="X93" s="126"/>
      <c r="Y93" s="126"/>
      <c r="Z93" s="126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126"/>
      <c r="V94" s="126"/>
      <c r="W94" s="126"/>
      <c r="X94" s="126"/>
      <c r="Y94" s="126"/>
      <c r="Z94" s="126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126"/>
      <c r="V95" s="126"/>
      <c r="W95" s="126"/>
      <c r="X95" s="126"/>
      <c r="Y95" s="126"/>
      <c r="Z95" s="126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126"/>
      <c r="V96" s="126"/>
      <c r="W96" s="126"/>
      <c r="X96" s="126"/>
      <c r="Y96" s="126"/>
      <c r="Z96" s="126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126"/>
      <c r="V97" s="126"/>
      <c r="W97" s="126"/>
      <c r="X97" s="126"/>
      <c r="Y97" s="126"/>
      <c r="Z97" s="126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126"/>
      <c r="V98" s="126"/>
      <c r="W98" s="126"/>
      <c r="X98" s="126"/>
      <c r="Y98" s="126"/>
      <c r="Z98" s="126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126"/>
      <c r="V99" s="126"/>
      <c r="W99" s="126"/>
      <c r="X99" s="126"/>
      <c r="Y99" s="126"/>
      <c r="Z99" s="126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126"/>
      <c r="V100" s="126"/>
      <c r="W100" s="126"/>
      <c r="X100" s="126"/>
      <c r="Y100" s="126"/>
      <c r="Z100" s="126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126"/>
      <c r="V101" s="126"/>
      <c r="W101" s="126"/>
      <c r="X101" s="126"/>
      <c r="Y101" s="126"/>
      <c r="Z101" s="126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126"/>
      <c r="V102" s="126"/>
      <c r="W102" s="126"/>
      <c r="X102" s="126"/>
      <c r="Y102" s="126"/>
      <c r="Z102" s="126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126"/>
      <c r="V103" s="126"/>
      <c r="W103" s="126"/>
      <c r="X103" s="126"/>
      <c r="Y103" s="126"/>
      <c r="Z103" s="126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126"/>
      <c r="V104" s="126"/>
      <c r="W104" s="126"/>
      <c r="X104" s="126"/>
      <c r="Y104" s="126"/>
      <c r="Z104" s="126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126"/>
      <c r="V105" s="126"/>
      <c r="W105" s="126"/>
      <c r="X105" s="126"/>
      <c r="Y105" s="126"/>
      <c r="Z105" s="126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126"/>
      <c r="V106" s="126"/>
      <c r="W106" s="126"/>
      <c r="X106" s="126"/>
      <c r="Y106" s="126"/>
      <c r="Z106" s="126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126"/>
      <c r="V107" s="126"/>
      <c r="W107" s="126"/>
      <c r="X107" s="126"/>
      <c r="Y107" s="126"/>
      <c r="Z107" s="126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126"/>
      <c r="V108" s="126"/>
      <c r="W108" s="126"/>
      <c r="X108" s="126"/>
      <c r="Y108" s="126"/>
      <c r="Z108" s="126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126"/>
      <c r="V109" s="126"/>
      <c r="W109" s="126"/>
      <c r="X109" s="126"/>
      <c r="Y109" s="126"/>
      <c r="Z109" s="126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126"/>
      <c r="V110" s="126"/>
      <c r="W110" s="126"/>
      <c r="X110" s="126"/>
      <c r="Y110" s="126"/>
      <c r="Z110" s="126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126"/>
      <c r="V111" s="126"/>
      <c r="W111" s="126"/>
      <c r="X111" s="126"/>
      <c r="Y111" s="126"/>
      <c r="Z111" s="126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126"/>
      <c r="V112" s="126"/>
      <c r="W112" s="126"/>
      <c r="X112" s="126"/>
      <c r="Y112" s="126"/>
      <c r="Z112" s="126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126"/>
      <c r="V113" s="126"/>
      <c r="W113" s="126"/>
      <c r="X113" s="126"/>
      <c r="Y113" s="126"/>
      <c r="Z113" s="126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126"/>
      <c r="V114" s="126"/>
      <c r="W114" s="126"/>
      <c r="X114" s="126"/>
      <c r="Y114" s="126"/>
      <c r="Z114" s="126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126"/>
      <c r="V115" s="126"/>
      <c r="W115" s="126"/>
      <c r="X115" s="126"/>
      <c r="Y115" s="126"/>
      <c r="Z115" s="126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126"/>
      <c r="V116" s="126"/>
      <c r="W116" s="126"/>
      <c r="X116" s="126"/>
      <c r="Y116" s="126"/>
      <c r="Z116" s="126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126"/>
      <c r="V117" s="126"/>
      <c r="W117" s="126"/>
      <c r="X117" s="126"/>
      <c r="Y117" s="126"/>
      <c r="Z117" s="126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126"/>
      <c r="V118" s="126"/>
      <c r="W118" s="126"/>
      <c r="X118" s="126"/>
      <c r="Y118" s="126"/>
      <c r="Z118" s="126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126"/>
      <c r="V119" s="126"/>
      <c r="W119" s="126"/>
      <c r="X119" s="126"/>
      <c r="Y119" s="126"/>
      <c r="Z119" s="126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126"/>
      <c r="V120" s="126"/>
      <c r="W120" s="126"/>
      <c r="X120" s="126"/>
      <c r="Y120" s="126"/>
      <c r="Z120" s="126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126"/>
      <c r="V121" s="126"/>
      <c r="W121" s="126"/>
      <c r="X121" s="126"/>
      <c r="Y121" s="126"/>
      <c r="Z121" s="126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126"/>
      <c r="V122" s="126"/>
      <c r="W122" s="126"/>
      <c r="X122" s="126"/>
      <c r="Y122" s="126"/>
      <c r="Z122" s="126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126"/>
      <c r="V123" s="126"/>
      <c r="W123" s="126"/>
      <c r="X123" s="126"/>
      <c r="Y123" s="126"/>
      <c r="Z123" s="126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126"/>
      <c r="V124" s="126"/>
      <c r="W124" s="126"/>
      <c r="X124" s="126"/>
      <c r="Y124" s="126"/>
      <c r="Z124" s="126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126"/>
      <c r="V125" s="126"/>
      <c r="W125" s="126"/>
      <c r="X125" s="126"/>
      <c r="Y125" s="126"/>
      <c r="Z125" s="126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126"/>
      <c r="V126" s="126"/>
      <c r="W126" s="126"/>
      <c r="X126" s="126"/>
      <c r="Y126" s="126"/>
      <c r="Z126" s="126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126"/>
      <c r="V127" s="126"/>
      <c r="W127" s="126"/>
      <c r="X127" s="126"/>
      <c r="Y127" s="126"/>
      <c r="Z127" s="126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126"/>
      <c r="V128" s="126"/>
      <c r="W128" s="126"/>
      <c r="X128" s="126"/>
      <c r="Y128" s="126"/>
      <c r="Z128" s="126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126"/>
      <c r="V129" s="126"/>
      <c r="W129" s="126"/>
      <c r="X129" s="126"/>
      <c r="Y129" s="126"/>
      <c r="Z129" s="126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126"/>
      <c r="V130" s="126"/>
      <c r="W130" s="126"/>
      <c r="X130" s="126"/>
      <c r="Y130" s="126"/>
      <c r="Z130" s="126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126"/>
      <c r="V131" s="126"/>
      <c r="W131" s="126"/>
      <c r="X131" s="126"/>
      <c r="Y131" s="126"/>
      <c r="Z131" s="126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126"/>
      <c r="V132" s="126"/>
      <c r="W132" s="126"/>
      <c r="X132" s="126"/>
      <c r="Y132" s="126"/>
      <c r="Z132" s="126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126"/>
      <c r="V133" s="126"/>
      <c r="W133" s="126"/>
      <c r="X133" s="126"/>
      <c r="Y133" s="126"/>
      <c r="Z133" s="126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126"/>
      <c r="V134" s="126"/>
      <c r="W134" s="126"/>
      <c r="X134" s="126"/>
      <c r="Y134" s="126"/>
      <c r="Z134" s="126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126"/>
      <c r="V135" s="126"/>
      <c r="W135" s="126"/>
      <c r="X135" s="126"/>
      <c r="Y135" s="126"/>
      <c r="Z135" s="126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126"/>
      <c r="V136" s="126"/>
      <c r="W136" s="126"/>
      <c r="X136" s="126"/>
      <c r="Y136" s="126"/>
      <c r="Z136" s="126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126"/>
      <c r="V137" s="126"/>
      <c r="W137" s="126"/>
      <c r="X137" s="126"/>
      <c r="Y137" s="126"/>
      <c r="Z137" s="126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126"/>
      <c r="V138" s="126"/>
      <c r="W138" s="126"/>
      <c r="X138" s="126"/>
      <c r="Y138" s="126"/>
      <c r="Z138" s="126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126"/>
      <c r="V139" s="126"/>
      <c r="W139" s="126"/>
      <c r="X139" s="126"/>
      <c r="Y139" s="126"/>
      <c r="Z139" s="126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126"/>
      <c r="V140" s="126"/>
      <c r="W140" s="126"/>
      <c r="X140" s="126"/>
      <c r="Y140" s="126"/>
      <c r="Z140" s="126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126"/>
      <c r="V141" s="126"/>
      <c r="W141" s="126"/>
      <c r="X141" s="126"/>
      <c r="Y141" s="126"/>
      <c r="Z141" s="126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126"/>
      <c r="V142" s="126"/>
      <c r="W142" s="126"/>
      <c r="X142" s="126"/>
      <c r="Y142" s="126"/>
      <c r="Z142" s="126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126"/>
      <c r="V143" s="126"/>
      <c r="W143" s="126"/>
      <c r="X143" s="126"/>
      <c r="Y143" s="126"/>
      <c r="Z143" s="126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126"/>
      <c r="V144" s="126"/>
      <c r="W144" s="126"/>
      <c r="X144" s="126"/>
      <c r="Y144" s="126"/>
      <c r="Z144" s="126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126"/>
      <c r="V145" s="126"/>
      <c r="W145" s="126"/>
      <c r="X145" s="126"/>
      <c r="Y145" s="126"/>
      <c r="Z145" s="126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126"/>
      <c r="V146" s="126"/>
      <c r="W146" s="126"/>
      <c r="X146" s="126"/>
      <c r="Y146" s="126"/>
      <c r="Z146" s="126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126"/>
      <c r="V147" s="126"/>
      <c r="W147" s="126"/>
      <c r="X147" s="126"/>
      <c r="Y147" s="126"/>
      <c r="Z147" s="126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126"/>
      <c r="V148" s="126"/>
      <c r="W148" s="126"/>
      <c r="X148" s="126"/>
      <c r="Y148" s="126"/>
      <c r="Z148" s="126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126"/>
      <c r="V149" s="126"/>
      <c r="W149" s="126"/>
      <c r="X149" s="126"/>
      <c r="Y149" s="126"/>
      <c r="Z149" s="126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126"/>
      <c r="V150" s="126"/>
      <c r="W150" s="126"/>
      <c r="X150" s="126"/>
      <c r="Y150" s="126"/>
      <c r="Z150" s="126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126"/>
      <c r="V151" s="126"/>
      <c r="W151" s="126"/>
      <c r="X151" s="126"/>
      <c r="Y151" s="126"/>
      <c r="Z151" s="126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126"/>
      <c r="V152" s="126"/>
      <c r="W152" s="126"/>
      <c r="X152" s="126"/>
      <c r="Y152" s="126"/>
      <c r="Z152" s="126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126"/>
      <c r="V153" s="126"/>
      <c r="W153" s="126"/>
      <c r="X153" s="126"/>
      <c r="Y153" s="126"/>
      <c r="Z153" s="126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126"/>
      <c r="V154" s="126"/>
      <c r="W154" s="126"/>
      <c r="X154" s="126"/>
      <c r="Y154" s="126"/>
      <c r="Z154" s="126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126"/>
      <c r="V155" s="126"/>
      <c r="W155" s="126"/>
      <c r="X155" s="126"/>
      <c r="Y155" s="126"/>
      <c r="Z155" s="126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126"/>
      <c r="V156" s="126"/>
      <c r="W156" s="126"/>
      <c r="X156" s="126"/>
      <c r="Y156" s="126"/>
      <c r="Z156" s="126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126"/>
      <c r="V157" s="126"/>
      <c r="W157" s="126"/>
      <c r="X157" s="126"/>
      <c r="Y157" s="126"/>
      <c r="Z157" s="126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126"/>
      <c r="V158" s="126"/>
      <c r="W158" s="126"/>
      <c r="X158" s="126"/>
      <c r="Y158" s="126"/>
      <c r="Z158" s="126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126"/>
      <c r="V159" s="126"/>
      <c r="W159" s="126"/>
      <c r="X159" s="126"/>
      <c r="Y159" s="126"/>
      <c r="Z159" s="126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126"/>
      <c r="V160" s="126"/>
      <c r="W160" s="126"/>
      <c r="X160" s="126"/>
      <c r="Y160" s="126"/>
      <c r="Z160" s="126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126"/>
      <c r="V161" s="126"/>
      <c r="W161" s="126"/>
      <c r="X161" s="126"/>
      <c r="Y161" s="126"/>
      <c r="Z161" s="126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126"/>
      <c r="V162" s="126"/>
      <c r="W162" s="126"/>
      <c r="X162" s="126"/>
      <c r="Y162" s="126"/>
      <c r="Z162" s="126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126"/>
      <c r="V163" s="126"/>
      <c r="W163" s="126"/>
      <c r="X163" s="126"/>
      <c r="Y163" s="126"/>
      <c r="Z163" s="126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126"/>
      <c r="V164" s="126"/>
      <c r="W164" s="126"/>
      <c r="X164" s="126"/>
      <c r="Y164" s="126"/>
      <c r="Z164" s="126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126"/>
      <c r="V165" s="126"/>
      <c r="W165" s="126"/>
      <c r="X165" s="126"/>
      <c r="Y165" s="126"/>
      <c r="Z165" s="126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126"/>
      <c r="V166" s="126"/>
      <c r="W166" s="126"/>
      <c r="X166" s="126"/>
      <c r="Y166" s="126"/>
      <c r="Z166" s="126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126"/>
      <c r="V167" s="126"/>
      <c r="W167" s="126"/>
      <c r="X167" s="126"/>
      <c r="Y167" s="126"/>
      <c r="Z167" s="126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126"/>
      <c r="V168" s="126"/>
      <c r="W168" s="126"/>
      <c r="X168" s="126"/>
      <c r="Y168" s="126"/>
      <c r="Z168" s="126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126"/>
      <c r="V169" s="126"/>
      <c r="W169" s="126"/>
      <c r="X169" s="126"/>
      <c r="Y169" s="126"/>
      <c r="Z169" s="126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126"/>
      <c r="V170" s="126"/>
      <c r="W170" s="126"/>
      <c r="X170" s="126"/>
      <c r="Y170" s="126"/>
      <c r="Z170" s="126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126"/>
      <c r="V171" s="126"/>
      <c r="W171" s="126"/>
      <c r="X171" s="126"/>
      <c r="Y171" s="126"/>
      <c r="Z171" s="126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126"/>
      <c r="V172" s="126"/>
      <c r="W172" s="126"/>
      <c r="X172" s="126"/>
      <c r="Y172" s="126"/>
      <c r="Z172" s="126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126"/>
      <c r="V173" s="126"/>
      <c r="W173" s="126"/>
      <c r="X173" s="126"/>
      <c r="Y173" s="126"/>
      <c r="Z173" s="126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126"/>
      <c r="V174" s="126"/>
      <c r="W174" s="126"/>
      <c r="X174" s="126"/>
      <c r="Y174" s="126"/>
      <c r="Z174" s="126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126"/>
      <c r="V175" s="126"/>
      <c r="W175" s="126"/>
      <c r="X175" s="126"/>
      <c r="Y175" s="126"/>
      <c r="Z175" s="126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126"/>
      <c r="V176" s="126"/>
      <c r="W176" s="126"/>
      <c r="X176" s="126"/>
      <c r="Y176" s="126"/>
      <c r="Z176" s="126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126"/>
      <c r="V177" s="126"/>
      <c r="W177" s="126"/>
      <c r="X177" s="126"/>
      <c r="Y177" s="126"/>
      <c r="Z177" s="126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126"/>
      <c r="V178" s="126"/>
      <c r="W178" s="126"/>
      <c r="X178" s="126"/>
      <c r="Y178" s="126"/>
      <c r="Z178" s="126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126"/>
      <c r="V179" s="126"/>
      <c r="W179" s="126"/>
      <c r="X179" s="126"/>
      <c r="Y179" s="126"/>
      <c r="Z179" s="126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126"/>
      <c r="V180" s="126"/>
      <c r="W180" s="126"/>
      <c r="X180" s="126"/>
      <c r="Y180" s="126"/>
      <c r="Z180" s="126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126"/>
      <c r="V181" s="126"/>
      <c r="W181" s="126"/>
      <c r="X181" s="126"/>
      <c r="Y181" s="126"/>
      <c r="Z181" s="126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126"/>
      <c r="V182" s="126"/>
      <c r="W182" s="126"/>
      <c r="X182" s="126"/>
      <c r="Y182" s="126"/>
      <c r="Z182" s="126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126"/>
      <c r="V183" s="126"/>
      <c r="W183" s="126"/>
      <c r="X183" s="126"/>
      <c r="Y183" s="126"/>
      <c r="Z183" s="126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126"/>
      <c r="V184" s="126"/>
      <c r="W184" s="126"/>
      <c r="X184" s="126"/>
      <c r="Y184" s="126"/>
      <c r="Z184" s="126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126"/>
      <c r="V185" s="126"/>
      <c r="W185" s="126"/>
      <c r="X185" s="126"/>
      <c r="Y185" s="126"/>
      <c r="Z185" s="126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126"/>
      <c r="V186" s="126"/>
      <c r="W186" s="126"/>
      <c r="X186" s="126"/>
      <c r="Y186" s="126"/>
      <c r="Z186" s="126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126"/>
      <c r="V187" s="126"/>
      <c r="W187" s="126"/>
      <c r="X187" s="126"/>
      <c r="Y187" s="126"/>
      <c r="Z187" s="126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126"/>
      <c r="V188" s="126"/>
      <c r="W188" s="126"/>
      <c r="X188" s="126"/>
      <c r="Y188" s="126"/>
      <c r="Z188" s="126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126"/>
      <c r="V189" s="126"/>
      <c r="W189" s="126"/>
      <c r="X189" s="126"/>
      <c r="Y189" s="126"/>
      <c r="Z189" s="126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126"/>
      <c r="V190" s="126"/>
      <c r="W190" s="126"/>
      <c r="X190" s="126"/>
      <c r="Y190" s="126"/>
      <c r="Z190" s="126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126"/>
      <c r="V191" s="126"/>
      <c r="W191" s="126"/>
      <c r="X191" s="126"/>
      <c r="Y191" s="126"/>
      <c r="Z191" s="126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126"/>
      <c r="V192" s="126"/>
      <c r="W192" s="126"/>
      <c r="X192" s="126"/>
      <c r="Y192" s="126"/>
      <c r="Z192" s="126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126"/>
      <c r="V193" s="126"/>
      <c r="W193" s="126"/>
      <c r="X193" s="126"/>
      <c r="Y193" s="126"/>
      <c r="Z193" s="126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126"/>
      <c r="V194" s="126"/>
      <c r="W194" s="126"/>
      <c r="X194" s="126"/>
      <c r="Y194" s="126"/>
      <c r="Z194" s="126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126"/>
      <c r="V195" s="126"/>
      <c r="W195" s="126"/>
      <c r="X195" s="126"/>
      <c r="Y195" s="126"/>
      <c r="Z195" s="126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126"/>
      <c r="V196" s="126"/>
      <c r="W196" s="126"/>
      <c r="X196" s="126"/>
      <c r="Y196" s="126"/>
      <c r="Z196" s="126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126"/>
      <c r="V197" s="126"/>
      <c r="W197" s="126"/>
      <c r="X197" s="126"/>
      <c r="Y197" s="126"/>
      <c r="Z197" s="126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126"/>
      <c r="V198" s="126"/>
      <c r="W198" s="126"/>
      <c r="X198" s="126"/>
      <c r="Y198" s="126"/>
      <c r="Z198" s="126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126"/>
      <c r="V199" s="126"/>
      <c r="W199" s="126"/>
      <c r="X199" s="126"/>
      <c r="Y199" s="126"/>
      <c r="Z199" s="126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126"/>
      <c r="V200" s="126"/>
      <c r="W200" s="126"/>
      <c r="X200" s="126"/>
      <c r="Y200" s="126"/>
      <c r="Z200" s="126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126"/>
      <c r="V201" s="126"/>
      <c r="W201" s="126"/>
      <c r="X201" s="126"/>
      <c r="Y201" s="126"/>
      <c r="Z201" s="126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126"/>
      <c r="V202" s="126"/>
      <c r="W202" s="126"/>
      <c r="X202" s="126"/>
      <c r="Y202" s="126"/>
      <c r="Z202" s="126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126"/>
      <c r="V203" s="126"/>
      <c r="W203" s="126"/>
      <c r="X203" s="126"/>
      <c r="Y203" s="126"/>
      <c r="Z203" s="126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126"/>
      <c r="V204" s="126"/>
      <c r="W204" s="126"/>
      <c r="X204" s="126"/>
      <c r="Y204" s="126"/>
      <c r="Z204" s="126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126"/>
      <c r="V205" s="126"/>
      <c r="W205" s="126"/>
      <c r="X205" s="126"/>
      <c r="Y205" s="126"/>
      <c r="Z205" s="126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126"/>
      <c r="V206" s="126"/>
      <c r="W206" s="126"/>
      <c r="X206" s="126"/>
      <c r="Y206" s="126"/>
      <c r="Z206" s="126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126"/>
      <c r="V207" s="126"/>
      <c r="W207" s="126"/>
      <c r="X207" s="126"/>
      <c r="Y207" s="126"/>
      <c r="Z207" s="126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126"/>
      <c r="V208" s="126"/>
      <c r="W208" s="126"/>
      <c r="X208" s="126"/>
      <c r="Y208" s="126"/>
      <c r="Z208" s="126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126"/>
      <c r="V209" s="126"/>
      <c r="W209" s="126"/>
      <c r="X209" s="126"/>
      <c r="Y209" s="126"/>
      <c r="Z209" s="126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126"/>
      <c r="V210" s="126"/>
      <c r="W210" s="126"/>
      <c r="X210" s="126"/>
      <c r="Y210" s="126"/>
      <c r="Z210" s="126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126"/>
      <c r="V211" s="126"/>
      <c r="W211" s="126"/>
      <c r="X211" s="126"/>
      <c r="Y211" s="126"/>
      <c r="Z211" s="126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126"/>
      <c r="V212" s="126"/>
      <c r="W212" s="126"/>
      <c r="X212" s="126"/>
      <c r="Y212" s="126"/>
      <c r="Z212" s="126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126"/>
      <c r="V213" s="126"/>
      <c r="W213" s="126"/>
      <c r="X213" s="126"/>
      <c r="Y213" s="126"/>
      <c r="Z213" s="126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126"/>
      <c r="V214" s="126"/>
      <c r="W214" s="126"/>
      <c r="X214" s="126"/>
      <c r="Y214" s="126"/>
      <c r="Z214" s="126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126"/>
      <c r="V215" s="126"/>
      <c r="W215" s="126"/>
      <c r="X215" s="126"/>
      <c r="Y215" s="126"/>
      <c r="Z215" s="126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126"/>
      <c r="V216" s="126"/>
      <c r="W216" s="126"/>
      <c r="X216" s="126"/>
      <c r="Y216" s="126"/>
      <c r="Z216" s="126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126"/>
      <c r="V217" s="126"/>
      <c r="W217" s="126"/>
      <c r="X217" s="126"/>
      <c r="Y217" s="126"/>
      <c r="Z217" s="126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126"/>
      <c r="V218" s="126"/>
      <c r="W218" s="126"/>
      <c r="X218" s="126"/>
      <c r="Y218" s="126"/>
      <c r="Z218" s="126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126"/>
      <c r="V219" s="126"/>
      <c r="W219" s="126"/>
      <c r="X219" s="126"/>
      <c r="Y219" s="126"/>
      <c r="Z219" s="126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126"/>
      <c r="V220" s="126"/>
      <c r="W220" s="126"/>
      <c r="X220" s="126"/>
      <c r="Y220" s="126"/>
      <c r="Z220" s="126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126"/>
      <c r="V221" s="126"/>
      <c r="W221" s="126"/>
      <c r="X221" s="126"/>
      <c r="Y221" s="126"/>
      <c r="Z221" s="126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126"/>
      <c r="V222" s="126"/>
      <c r="W222" s="126"/>
      <c r="X222" s="126"/>
      <c r="Y222" s="126"/>
      <c r="Z222" s="126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126"/>
      <c r="V223" s="126"/>
      <c r="W223" s="126"/>
      <c r="X223" s="126"/>
      <c r="Y223" s="126"/>
      <c r="Z223" s="126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126"/>
      <c r="V224" s="126"/>
      <c r="W224" s="126"/>
      <c r="X224" s="126"/>
      <c r="Y224" s="126"/>
      <c r="Z224" s="126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126"/>
      <c r="V225" s="126"/>
      <c r="W225" s="126"/>
      <c r="X225" s="126"/>
      <c r="Y225" s="126"/>
      <c r="Z225" s="126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126"/>
      <c r="V226" s="126"/>
      <c r="W226" s="126"/>
      <c r="X226" s="126"/>
      <c r="Y226" s="126"/>
      <c r="Z226" s="126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126"/>
      <c r="V227" s="126"/>
      <c r="W227" s="126"/>
      <c r="X227" s="126"/>
      <c r="Y227" s="126"/>
      <c r="Z227" s="126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126"/>
      <c r="V228" s="126"/>
      <c r="W228" s="126"/>
      <c r="X228" s="126"/>
      <c r="Y228" s="126"/>
      <c r="Z228" s="126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126"/>
      <c r="V229" s="126"/>
      <c r="W229" s="126"/>
      <c r="X229" s="126"/>
      <c r="Y229" s="126"/>
      <c r="Z229" s="126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126"/>
      <c r="V230" s="126"/>
      <c r="W230" s="126"/>
      <c r="X230" s="126"/>
      <c r="Y230" s="126"/>
      <c r="Z230" s="126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126"/>
      <c r="V231" s="126"/>
      <c r="W231" s="126"/>
      <c r="X231" s="126"/>
      <c r="Y231" s="126"/>
      <c r="Z231" s="126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126"/>
      <c r="V232" s="126"/>
      <c r="W232" s="126"/>
      <c r="X232" s="126"/>
      <c r="Y232" s="126"/>
      <c r="Z232" s="126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126"/>
      <c r="V233" s="126"/>
      <c r="W233" s="126"/>
      <c r="X233" s="126"/>
      <c r="Y233" s="126"/>
      <c r="Z233" s="126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126"/>
      <c r="V234" s="126"/>
      <c r="W234" s="126"/>
      <c r="X234" s="126"/>
      <c r="Y234" s="126"/>
      <c r="Z234" s="126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126"/>
      <c r="V235" s="126"/>
      <c r="W235" s="126"/>
      <c r="X235" s="126"/>
      <c r="Y235" s="126"/>
      <c r="Z235" s="126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126"/>
      <c r="V236" s="126"/>
      <c r="W236" s="126"/>
      <c r="X236" s="126"/>
      <c r="Y236" s="126"/>
      <c r="Z236" s="126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126"/>
      <c r="V237" s="126"/>
      <c r="W237" s="126"/>
      <c r="X237" s="126"/>
      <c r="Y237" s="126"/>
      <c r="Z237" s="126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126"/>
      <c r="V238" s="126"/>
      <c r="W238" s="126"/>
      <c r="X238" s="126"/>
      <c r="Y238" s="126"/>
      <c r="Z238" s="126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126"/>
      <c r="V239" s="126"/>
      <c r="W239" s="126"/>
      <c r="X239" s="126"/>
      <c r="Y239" s="126"/>
      <c r="Z239" s="126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126"/>
      <c r="V240" s="126"/>
      <c r="W240" s="126"/>
      <c r="X240" s="126"/>
      <c r="Y240" s="126"/>
      <c r="Z240" s="126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126"/>
      <c r="V241" s="126"/>
      <c r="W241" s="126"/>
      <c r="X241" s="126"/>
      <c r="Y241" s="126"/>
      <c r="Z241" s="126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126"/>
      <c r="V242" s="126"/>
      <c r="W242" s="126"/>
      <c r="X242" s="126"/>
      <c r="Y242" s="126"/>
      <c r="Z242" s="126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126"/>
      <c r="V243" s="126"/>
      <c r="W243" s="126"/>
      <c r="X243" s="126"/>
      <c r="Y243" s="126"/>
      <c r="Z243" s="126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126"/>
      <c r="V244" s="126"/>
      <c r="W244" s="126"/>
      <c r="X244" s="126"/>
      <c r="Y244" s="126"/>
      <c r="Z244" s="126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126"/>
      <c r="V245" s="126"/>
      <c r="W245" s="126"/>
      <c r="X245" s="126"/>
      <c r="Y245" s="126"/>
      <c r="Z245" s="126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126"/>
      <c r="V246" s="126"/>
      <c r="W246" s="126"/>
      <c r="X246" s="126"/>
      <c r="Y246" s="126"/>
      <c r="Z246" s="126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126"/>
      <c r="V247" s="126"/>
      <c r="W247" s="126"/>
      <c r="X247" s="126"/>
      <c r="Y247" s="126"/>
      <c r="Z247" s="126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126"/>
      <c r="V248" s="126"/>
      <c r="W248" s="126"/>
      <c r="X248" s="126"/>
      <c r="Y248" s="126"/>
      <c r="Z248" s="126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126"/>
      <c r="V249" s="126"/>
      <c r="W249" s="126"/>
      <c r="X249" s="126"/>
      <c r="Y249" s="126"/>
      <c r="Z249" s="126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126"/>
      <c r="V250" s="126"/>
      <c r="W250" s="126"/>
      <c r="X250" s="126"/>
      <c r="Y250" s="126"/>
      <c r="Z250" s="126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126"/>
      <c r="V251" s="126"/>
      <c r="W251" s="126"/>
      <c r="X251" s="126"/>
      <c r="Y251" s="126"/>
      <c r="Z251" s="126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126"/>
      <c r="V252" s="126"/>
      <c r="W252" s="126"/>
      <c r="X252" s="126"/>
      <c r="Y252" s="126"/>
      <c r="Z252" s="126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126"/>
      <c r="V253" s="126"/>
      <c r="W253" s="126"/>
      <c r="X253" s="126"/>
      <c r="Y253" s="126"/>
      <c r="Z253" s="126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126"/>
      <c r="V254" s="126"/>
      <c r="W254" s="126"/>
      <c r="X254" s="126"/>
      <c r="Y254" s="126"/>
      <c r="Z254" s="126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126"/>
      <c r="V255" s="126"/>
      <c r="W255" s="126"/>
      <c r="X255" s="126"/>
      <c r="Y255" s="126"/>
      <c r="Z255" s="126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126"/>
      <c r="V256" s="126"/>
      <c r="W256" s="126"/>
      <c r="X256" s="126"/>
      <c r="Y256" s="126"/>
      <c r="Z256" s="126"/>
    </row>
    <row r="257" ht="15.75" customHeight="1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5.75" customHeight="1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5.75" customHeight="1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5.75" customHeight="1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5.75" customHeight="1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5.75" customHeight="1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5.75" customHeight="1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5.75" customHeight="1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5.75" customHeight="1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5.75" customHeight="1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5.75" customHeight="1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5.75" customHeight="1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5.75" customHeight="1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5.75" customHeight="1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5.75" customHeight="1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5.75" customHeight="1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5.75" customHeight="1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5.75" customHeight="1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5.75" customHeight="1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5.75" customHeight="1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5.75" customHeight="1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5.75" customHeight="1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5.75" customHeight="1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5.75" customHeight="1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5.75" customHeight="1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5.75" customHeight="1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5.75" customHeight="1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5.75" customHeight="1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5.75" customHeight="1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5.75" customHeight="1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5.75" customHeight="1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5.75" customHeight="1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5.75" customHeight="1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5.75" customHeight="1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5.75" customHeight="1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5.75" customHeight="1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5.75" customHeight="1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5.75" customHeight="1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5.75" customHeight="1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5.75" customHeight="1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5.75" customHeight="1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5.75" customHeight="1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5.75" customHeight="1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5.75" customHeight="1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5.75" customHeight="1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5.75" customHeight="1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5.75" customHeight="1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5.75" customHeight="1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5.75" customHeight="1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5.75" customHeight="1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5.75" customHeight="1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5.75" customHeight="1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5.75" customHeight="1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5.75" customHeight="1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5.75" customHeight="1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5.75" customHeight="1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5.75" customHeight="1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5.75" customHeight="1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5.75" customHeight="1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5.75" customHeight="1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5.75" customHeight="1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5.75" customHeight="1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</row>
    <row r="319" ht="15.75" customHeight="1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</row>
    <row r="320" ht="15.75" customHeight="1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</row>
    <row r="321" ht="15.75" customHeight="1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</row>
    <row r="322" ht="15.75" customHeight="1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</row>
    <row r="323" ht="15.75" customHeight="1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</row>
    <row r="324" ht="15.75" customHeight="1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</row>
    <row r="325" ht="15.75" customHeight="1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</row>
    <row r="326" ht="15.75" customHeight="1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</row>
    <row r="327" ht="15.75" customHeight="1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</row>
    <row r="328" ht="15.75" customHeight="1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</row>
    <row r="329" ht="15.75" customHeight="1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</row>
    <row r="330" ht="15.75" customHeight="1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</row>
    <row r="331" ht="15.75" customHeight="1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</row>
    <row r="332" ht="15.75" customHeight="1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</row>
    <row r="333" ht="15.75" customHeight="1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</row>
    <row r="334" ht="15.75" customHeight="1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</row>
    <row r="335" ht="15.75" customHeight="1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</row>
    <row r="336" ht="15.75" customHeight="1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</row>
    <row r="337" ht="15.75" customHeight="1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</row>
    <row r="338" ht="15.75" customHeight="1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</row>
    <row r="339" ht="15.75" customHeight="1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</row>
    <row r="340" ht="15.75" customHeight="1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</row>
    <row r="341" ht="15.75" customHeight="1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</row>
    <row r="342" ht="15.75" customHeight="1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</row>
    <row r="343" ht="15.75" customHeight="1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</row>
    <row r="344" ht="15.75" customHeight="1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</row>
    <row r="345" ht="15.75" customHeight="1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</row>
    <row r="346" ht="15.75" customHeight="1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</row>
    <row r="347" ht="15.75" customHeight="1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</row>
    <row r="348" ht="15.75" customHeight="1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</row>
    <row r="349" ht="15.75" customHeight="1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</row>
    <row r="350" ht="15.75" customHeight="1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</row>
    <row r="351" ht="15.75" customHeight="1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</row>
    <row r="352" ht="15.75" customHeight="1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</row>
    <row r="353" ht="15.75" customHeight="1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</row>
    <row r="354" ht="15.75" customHeight="1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</row>
    <row r="355" ht="15.75" customHeight="1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</row>
    <row r="356" ht="15.75" customHeight="1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</row>
    <row r="357" ht="15.75" customHeight="1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</row>
    <row r="358" ht="15.75" customHeight="1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</row>
    <row r="359" ht="15.75" customHeight="1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</row>
    <row r="360" ht="15.75" customHeight="1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</row>
    <row r="361" ht="15.75" customHeight="1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</row>
    <row r="362" ht="15.75" customHeight="1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</row>
    <row r="363" ht="15.75" customHeight="1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</row>
    <row r="364" ht="15.75" customHeight="1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</row>
    <row r="365" ht="15.75" customHeight="1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</row>
    <row r="366" ht="15.75" customHeight="1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</row>
    <row r="367" ht="15.75" customHeight="1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</row>
    <row r="368" ht="15.75" customHeight="1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</row>
    <row r="369" ht="15.75" customHeight="1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</row>
    <row r="370" ht="15.75" customHeight="1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</row>
    <row r="371" ht="15.75" customHeight="1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</row>
    <row r="372" ht="15.75" customHeight="1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</row>
    <row r="373" ht="15.75" customHeight="1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</row>
    <row r="374" ht="15.75" customHeight="1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</row>
    <row r="375" ht="15.75" customHeight="1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</row>
    <row r="376" ht="15.75" customHeight="1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</row>
    <row r="377" ht="15.75" customHeight="1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</row>
    <row r="378" ht="15.75" customHeight="1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</row>
    <row r="379" ht="15.75" customHeight="1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</row>
    <row r="380" ht="15.75" customHeight="1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</row>
    <row r="381" ht="15.75" customHeight="1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</row>
    <row r="382" ht="15.75" customHeight="1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</row>
    <row r="383" ht="15.75" customHeight="1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</row>
    <row r="384" ht="15.75" customHeight="1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</row>
    <row r="385" ht="15.75" customHeight="1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</row>
    <row r="386" ht="15.75" customHeight="1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</row>
    <row r="387" ht="15.75" customHeight="1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</row>
    <row r="388" ht="15.75" customHeight="1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</row>
    <row r="389" ht="15.75" customHeight="1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</row>
    <row r="390" ht="15.75" customHeight="1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</row>
    <row r="391" ht="15.75" customHeight="1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</row>
    <row r="392" ht="15.75" customHeight="1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</row>
    <row r="393" ht="15.75" customHeight="1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</row>
    <row r="394" ht="15.75" customHeight="1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</row>
    <row r="395" ht="15.75" customHeight="1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</row>
    <row r="396" ht="15.75" customHeight="1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</row>
    <row r="397" ht="15.75" customHeight="1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</row>
    <row r="398" ht="15.75" customHeight="1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</row>
    <row r="399" ht="15.75" customHeight="1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</row>
    <row r="400" ht="15.75" customHeight="1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</row>
    <row r="401" ht="15.75" customHeight="1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</row>
    <row r="402" ht="15.75" customHeight="1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</row>
    <row r="403" ht="15.75" customHeight="1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</row>
    <row r="404" ht="15.75" customHeight="1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</row>
    <row r="405" ht="15.75" customHeight="1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</row>
    <row r="406" ht="15.75" customHeight="1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</row>
    <row r="407" ht="15.75" customHeight="1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</row>
    <row r="408" ht="15.75" customHeight="1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</row>
    <row r="409" ht="15.75" customHeight="1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</row>
    <row r="410" ht="15.75" customHeight="1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</row>
    <row r="411" ht="15.75" customHeight="1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</row>
    <row r="412" ht="15.75" customHeight="1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</row>
    <row r="413" ht="15.75" customHeight="1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</row>
    <row r="414" ht="15.75" customHeight="1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</row>
    <row r="415" ht="15.75" customHeight="1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</row>
    <row r="416" ht="15.75" customHeight="1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</row>
    <row r="417" ht="15.75" customHeight="1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</row>
    <row r="418" ht="15.75" customHeight="1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</row>
    <row r="419" ht="15.75" customHeight="1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</row>
    <row r="420" ht="15.75" customHeight="1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</row>
    <row r="421" ht="15.75" customHeight="1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</row>
    <row r="422" ht="15.75" customHeight="1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</row>
    <row r="423" ht="15.75" customHeight="1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</row>
    <row r="424" ht="15.75" customHeight="1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</row>
    <row r="425" ht="15.75" customHeight="1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</row>
    <row r="426" ht="15.75" customHeight="1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</row>
    <row r="427" ht="15.75" customHeight="1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</row>
    <row r="428" ht="15.75" customHeight="1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</row>
    <row r="429" ht="15.75" customHeight="1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</row>
    <row r="430" ht="15.75" customHeight="1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</row>
    <row r="431" ht="15.75" customHeight="1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</row>
    <row r="432" ht="15.75" customHeight="1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</row>
    <row r="433" ht="15.75" customHeight="1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</row>
    <row r="434" ht="15.75" customHeight="1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</row>
    <row r="435" ht="15.75" customHeight="1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</row>
    <row r="436" ht="15.75" customHeight="1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</row>
    <row r="437" ht="15.75" customHeight="1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</row>
    <row r="438" ht="15.75" customHeight="1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</row>
    <row r="439" ht="15.75" customHeight="1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</row>
    <row r="440" ht="15.75" customHeight="1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</row>
    <row r="441" ht="15.75" customHeight="1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</row>
    <row r="442" ht="15.75" customHeight="1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</row>
    <row r="443" ht="15.75" customHeight="1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</row>
    <row r="444" ht="15.75" customHeight="1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</row>
    <row r="445" ht="15.75" customHeight="1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ht="15.75" customHeight="1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ht="15.75" customHeight="1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</row>
    <row r="448" ht="15.75" customHeight="1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</row>
    <row r="449" ht="15.75" customHeight="1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ht="15.75" customHeight="1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</row>
    <row r="451" ht="15.75" customHeight="1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</row>
    <row r="452" ht="15.75" customHeight="1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ht="15.75" customHeight="1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ht="15.75" customHeight="1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</row>
    <row r="455" ht="15.75" customHeight="1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</row>
    <row r="456" ht="15.75" customHeight="1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</row>
    <row r="457" ht="15.75" customHeight="1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</row>
    <row r="458" ht="15.75" customHeight="1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</row>
    <row r="459" ht="15.75" customHeight="1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</row>
    <row r="460" ht="15.75" customHeight="1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ht="15.75" customHeight="1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</row>
    <row r="462" ht="15.75" customHeight="1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</row>
    <row r="463" ht="15.75" customHeight="1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</row>
    <row r="464" ht="15.75" customHeight="1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</row>
    <row r="465" ht="15.75" customHeight="1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ht="15.75" customHeight="1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</row>
    <row r="467" ht="15.75" customHeight="1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</row>
    <row r="468" ht="15.75" customHeight="1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</row>
    <row r="469" ht="15.75" customHeight="1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</row>
    <row r="470" ht="15.75" customHeight="1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</row>
    <row r="471" ht="15.75" customHeight="1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</row>
    <row r="472" ht="15.75" customHeight="1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ht="15.75" customHeight="1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</row>
    <row r="474" ht="15.75" customHeight="1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</row>
    <row r="475" ht="15.75" customHeight="1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</row>
    <row r="476" ht="15.75" customHeight="1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</row>
    <row r="477" ht="15.75" customHeight="1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</row>
    <row r="478" ht="15.75" customHeight="1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ht="15.75" customHeight="1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</row>
    <row r="480" ht="15.75" customHeight="1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ht="15.75" customHeight="1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ht="15.75" customHeight="1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</row>
    <row r="483" ht="15.75" customHeight="1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</row>
    <row r="484" ht="15.75" customHeight="1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</row>
    <row r="485" ht="15.75" customHeight="1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ht="15.75" customHeight="1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</row>
    <row r="487" ht="15.75" customHeight="1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ht="15.75" customHeight="1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ht="15.75" customHeight="1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ht="15.75" customHeight="1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</row>
    <row r="491" ht="15.75" customHeight="1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ht="15.75" customHeight="1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</row>
    <row r="493" ht="15.75" customHeight="1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</row>
    <row r="494" ht="15.75" customHeight="1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</row>
    <row r="495" ht="15.75" customHeight="1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ht="15.75" customHeight="1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ht="15.75" customHeight="1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</row>
    <row r="498" ht="15.75" customHeight="1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</row>
    <row r="499" ht="15.75" customHeight="1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</row>
    <row r="500" ht="15.75" customHeight="1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ht="15.75" customHeight="1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ht="15.75" customHeight="1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ht="15.75" customHeight="1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ht="15.75" customHeight="1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ht="15.75" customHeight="1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</row>
    <row r="506" ht="15.75" customHeight="1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ht="15.75" customHeight="1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</row>
    <row r="508" ht="15.75" customHeight="1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</row>
    <row r="509" ht="15.75" customHeight="1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</row>
    <row r="510" ht="15.75" customHeight="1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</row>
    <row r="511" ht="15.75" customHeight="1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</row>
    <row r="512" ht="15.75" customHeight="1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</row>
    <row r="513" ht="15.75" customHeight="1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</row>
    <row r="514" ht="15.75" customHeight="1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</row>
    <row r="515" ht="15.75" customHeight="1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ht="15.75" customHeight="1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ht="15.75" customHeight="1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ht="15.75" customHeight="1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</row>
    <row r="519" ht="15.75" customHeight="1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</row>
    <row r="520" ht="15.75" customHeight="1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</row>
    <row r="521" ht="15.75" customHeight="1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</row>
    <row r="522" ht="15.75" customHeight="1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</row>
    <row r="523" ht="15.75" customHeight="1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ht="15.75" customHeight="1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</row>
    <row r="525" ht="15.75" customHeight="1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</row>
    <row r="526" ht="15.75" customHeight="1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</row>
    <row r="527" ht="15.75" customHeight="1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</row>
    <row r="528" ht="15.75" customHeight="1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</row>
    <row r="529" ht="15.75" customHeight="1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</row>
    <row r="530" ht="15.75" customHeight="1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</row>
    <row r="531" ht="15.75" customHeight="1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</row>
    <row r="532" ht="15.75" customHeight="1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</row>
    <row r="533" ht="15.75" customHeight="1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</row>
    <row r="534" ht="15.75" customHeight="1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</row>
    <row r="535" ht="15.75" customHeight="1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</row>
    <row r="536" ht="15.75" customHeight="1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</row>
    <row r="537" ht="15.75" customHeight="1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</row>
    <row r="538" ht="15.75" customHeight="1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</row>
    <row r="539" ht="15.75" customHeight="1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</row>
    <row r="540" ht="15.75" customHeight="1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</row>
    <row r="541" ht="15.75" customHeight="1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</row>
    <row r="542" ht="15.75" customHeight="1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</row>
    <row r="543" ht="15.75" customHeight="1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</row>
    <row r="544" ht="15.75" customHeight="1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</row>
    <row r="545" ht="15.75" customHeight="1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</row>
    <row r="546" ht="15.75" customHeight="1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</row>
    <row r="547" ht="15.75" customHeight="1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</row>
    <row r="548" ht="15.75" customHeight="1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</row>
    <row r="549" ht="15.75" customHeight="1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</row>
    <row r="550" ht="15.75" customHeight="1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</row>
    <row r="551" ht="15.75" customHeight="1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</row>
    <row r="552" ht="15.75" customHeight="1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</row>
    <row r="553" ht="15.75" customHeight="1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</row>
    <row r="554" ht="15.75" customHeight="1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</row>
    <row r="555" ht="15.75" customHeight="1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</row>
    <row r="556" ht="15.75" customHeight="1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</row>
    <row r="557" ht="15.75" customHeight="1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</row>
    <row r="558" ht="15.75" customHeight="1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</row>
    <row r="559" ht="15.75" customHeight="1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</row>
    <row r="560" ht="15.75" customHeight="1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</row>
    <row r="561" ht="15.75" customHeight="1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</row>
    <row r="562" ht="15.75" customHeight="1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</row>
    <row r="563" ht="15.75" customHeight="1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</row>
    <row r="564" ht="15.75" customHeight="1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</row>
    <row r="565" ht="15.75" customHeight="1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</row>
    <row r="566" ht="15.75" customHeight="1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</row>
    <row r="567" ht="15.75" customHeight="1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</row>
    <row r="568" ht="15.75" customHeight="1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</row>
    <row r="569" ht="15.75" customHeight="1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</row>
    <row r="570" ht="15.75" customHeight="1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</row>
    <row r="571" ht="15.75" customHeight="1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</row>
    <row r="572" ht="15.75" customHeight="1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</row>
    <row r="573" ht="15.75" customHeight="1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</row>
    <row r="574" ht="15.75" customHeight="1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</row>
    <row r="575" ht="15.75" customHeight="1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</row>
    <row r="576" ht="15.75" customHeight="1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</row>
    <row r="577" ht="15.75" customHeight="1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</row>
    <row r="578" ht="15.75" customHeight="1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</row>
    <row r="579" ht="15.75" customHeight="1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</row>
    <row r="580" ht="15.75" customHeight="1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</row>
    <row r="581" ht="15.75" customHeight="1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</row>
    <row r="582" ht="15.75" customHeight="1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</row>
    <row r="583" ht="15.75" customHeight="1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</row>
    <row r="584" ht="15.75" customHeight="1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ht="15.75" customHeight="1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</row>
    <row r="586" ht="15.75" customHeight="1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</row>
    <row r="587" ht="15.75" customHeight="1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</row>
    <row r="588" ht="15.75" customHeight="1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</row>
    <row r="589" ht="15.75" customHeight="1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</row>
    <row r="590" ht="15.75" customHeight="1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</row>
    <row r="591" ht="15.75" customHeight="1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</row>
    <row r="592" ht="15.75" customHeight="1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</row>
    <row r="593" ht="15.75" customHeight="1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</row>
    <row r="594" ht="15.75" customHeight="1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</row>
    <row r="595" ht="15.75" customHeight="1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</row>
    <row r="596" ht="15.75" customHeight="1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</row>
    <row r="597" ht="15.75" customHeight="1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</row>
    <row r="598" ht="15.75" customHeight="1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</row>
    <row r="599" ht="15.75" customHeight="1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</row>
    <row r="600" ht="15.75" customHeight="1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</row>
    <row r="601" ht="15.75" customHeight="1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</row>
    <row r="602" ht="15.75" customHeight="1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</row>
    <row r="603" ht="15.75" customHeight="1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</row>
    <row r="604" ht="15.75" customHeight="1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</row>
    <row r="605" ht="15.75" customHeight="1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</row>
    <row r="606" ht="15.75" customHeight="1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</row>
    <row r="607" ht="15.75" customHeight="1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</row>
    <row r="608" ht="15.75" customHeight="1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</row>
    <row r="609" ht="15.75" customHeight="1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</row>
    <row r="610" ht="15.75" customHeight="1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</row>
    <row r="611" ht="15.75" customHeight="1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</row>
    <row r="612" ht="15.75" customHeight="1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</row>
    <row r="613" ht="15.75" customHeight="1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</row>
    <row r="614" ht="15.75" customHeight="1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</row>
    <row r="615" ht="15.75" customHeight="1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</row>
    <row r="616" ht="15.75" customHeight="1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</row>
    <row r="617" ht="15.75" customHeight="1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</row>
    <row r="618" ht="15.75" customHeight="1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</row>
    <row r="619" ht="15.75" customHeight="1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</row>
    <row r="620" ht="15.75" customHeight="1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</row>
    <row r="621" ht="15.75" customHeight="1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</row>
    <row r="622" ht="15.75" customHeight="1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</row>
    <row r="623" ht="15.75" customHeight="1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</row>
    <row r="624" ht="15.75" customHeight="1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</row>
    <row r="625" ht="15.75" customHeight="1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</row>
    <row r="626" ht="15.75" customHeight="1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</row>
    <row r="627" ht="15.75" customHeight="1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</row>
    <row r="628" ht="15.75" customHeight="1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</row>
    <row r="629" ht="15.75" customHeight="1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</row>
    <row r="630" ht="15.75" customHeight="1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</row>
    <row r="631" ht="15.75" customHeight="1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</row>
    <row r="632" ht="15.75" customHeight="1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</row>
    <row r="633" ht="15.75" customHeight="1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</row>
    <row r="634" ht="15.75" customHeight="1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</row>
    <row r="635" ht="15.75" customHeight="1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</row>
    <row r="636" ht="15.75" customHeight="1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</row>
    <row r="637" ht="15.75" customHeight="1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</row>
    <row r="638" ht="15.75" customHeight="1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</row>
    <row r="639" ht="15.75" customHeight="1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</row>
    <row r="640" ht="15.75" customHeight="1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</row>
    <row r="641" ht="15.75" customHeight="1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</row>
    <row r="642" ht="15.75" customHeight="1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</row>
    <row r="643" ht="15.75" customHeight="1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</row>
    <row r="644" ht="15.75" customHeight="1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</row>
    <row r="645" ht="15.75" customHeight="1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</row>
    <row r="646" ht="15.75" customHeight="1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</row>
    <row r="647" ht="15.75" customHeight="1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</row>
    <row r="648" ht="15.75" customHeight="1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</row>
    <row r="649" ht="15.75" customHeight="1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</row>
    <row r="650" ht="15.75" customHeight="1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</row>
    <row r="651" ht="15.75" customHeight="1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</row>
    <row r="652" ht="15.75" customHeight="1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</row>
    <row r="653" ht="15.75" customHeight="1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</row>
    <row r="654" ht="15.75" customHeight="1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</row>
    <row r="655" ht="15.75" customHeight="1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</row>
    <row r="656" ht="15.75" customHeight="1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</row>
    <row r="657" ht="15.75" customHeight="1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</row>
    <row r="658" ht="15.75" customHeight="1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</row>
    <row r="659" ht="15.75" customHeight="1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</row>
    <row r="660" ht="15.75" customHeight="1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</row>
    <row r="661" ht="15.75" customHeight="1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</row>
    <row r="662" ht="15.75" customHeight="1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</row>
    <row r="663" ht="15.75" customHeight="1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</row>
    <row r="664" ht="15.75" customHeight="1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</row>
    <row r="665" ht="15.75" customHeight="1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</row>
    <row r="666" ht="15.75" customHeight="1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</row>
    <row r="667" ht="15.75" customHeight="1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</row>
    <row r="668" ht="15.75" customHeight="1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</row>
    <row r="669" ht="15.75" customHeight="1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</row>
    <row r="670" ht="15.75" customHeight="1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</row>
    <row r="671" ht="15.75" customHeight="1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</row>
    <row r="672" ht="15.75" customHeight="1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</row>
    <row r="673" ht="15.75" customHeight="1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</row>
    <row r="674" ht="15.75" customHeight="1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</row>
    <row r="675" ht="15.75" customHeight="1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</row>
    <row r="676" ht="15.75" customHeight="1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</row>
    <row r="677" ht="15.75" customHeight="1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</row>
    <row r="678" ht="15.75" customHeight="1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</row>
    <row r="679" ht="15.75" customHeight="1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</row>
    <row r="680" ht="15.75" customHeight="1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</row>
    <row r="681" ht="15.75" customHeight="1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</row>
    <row r="682" ht="15.75" customHeight="1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</row>
    <row r="683" ht="15.75" customHeight="1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</row>
    <row r="684" ht="15.75" customHeight="1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</row>
    <row r="685" ht="15.75" customHeight="1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</row>
    <row r="686" ht="15.75" customHeight="1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</row>
    <row r="687" ht="15.75" customHeight="1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</row>
    <row r="688" ht="15.75" customHeight="1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</row>
    <row r="689" ht="15.75" customHeight="1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</row>
    <row r="690" ht="15.75" customHeight="1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</row>
    <row r="691" ht="15.75" customHeight="1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</row>
    <row r="692" ht="15.75" customHeight="1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</row>
    <row r="693" ht="15.75" customHeight="1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</row>
    <row r="694" ht="15.75" customHeight="1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</row>
    <row r="695" ht="15.75" customHeight="1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</row>
    <row r="696" ht="15.75" customHeight="1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</row>
    <row r="697" ht="15.75" customHeight="1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</row>
    <row r="698" ht="15.75" customHeight="1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</row>
    <row r="699" ht="15.75" customHeight="1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</row>
    <row r="700" ht="15.75" customHeight="1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</row>
    <row r="701" ht="15.75" customHeight="1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</row>
    <row r="702" ht="15.75" customHeight="1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</row>
    <row r="703" ht="15.75" customHeight="1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</row>
    <row r="704" ht="15.75" customHeight="1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</row>
    <row r="705" ht="15.75" customHeight="1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</row>
    <row r="706" ht="15.75" customHeight="1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</row>
    <row r="707" ht="15.75" customHeight="1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</row>
    <row r="708" ht="15.75" customHeight="1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</row>
    <row r="709" ht="15.75" customHeight="1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</row>
    <row r="710" ht="15.75" customHeight="1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</row>
    <row r="711" ht="15.75" customHeight="1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</row>
    <row r="712" ht="15.75" customHeight="1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</row>
    <row r="713" ht="15.75" customHeight="1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</row>
    <row r="714" ht="15.75" customHeight="1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</row>
    <row r="715" ht="15.75" customHeight="1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</row>
    <row r="716" ht="15.75" customHeight="1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</row>
    <row r="717" ht="15.75" customHeight="1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</row>
    <row r="718" ht="15.75" customHeight="1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</row>
    <row r="719" ht="15.75" customHeight="1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</row>
    <row r="720" ht="15.75" customHeight="1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</row>
    <row r="721" ht="15.75" customHeight="1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</row>
    <row r="722" ht="15.75" customHeight="1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</row>
    <row r="723" ht="15.75" customHeight="1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</row>
    <row r="724" ht="15.75" customHeight="1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</row>
    <row r="725" ht="15.75" customHeight="1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</row>
    <row r="726" ht="15.75" customHeight="1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</row>
    <row r="727" ht="15.75" customHeight="1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</row>
    <row r="728" ht="15.75" customHeight="1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</row>
    <row r="729" ht="15.75" customHeight="1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</row>
    <row r="730" ht="15.75" customHeight="1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</row>
    <row r="731" ht="15.75" customHeight="1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</row>
    <row r="732" ht="15.75" customHeight="1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</row>
    <row r="733" ht="15.75" customHeight="1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</row>
    <row r="734" ht="15.75" customHeight="1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</row>
    <row r="735" ht="15.75" customHeight="1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</row>
    <row r="736" ht="15.75" customHeight="1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</row>
    <row r="737" ht="15.75" customHeight="1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</row>
    <row r="738" ht="15.75" customHeight="1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</row>
    <row r="739" ht="15.75" customHeight="1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</row>
    <row r="740" ht="15.75" customHeight="1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</row>
    <row r="741" ht="15.75" customHeight="1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</row>
    <row r="742" ht="15.75" customHeight="1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</row>
    <row r="743" ht="15.75" customHeight="1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</row>
    <row r="744" ht="15.75" customHeight="1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</row>
    <row r="745" ht="15.75" customHeight="1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</row>
    <row r="746" ht="15.75" customHeight="1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</row>
    <row r="747" ht="15.75" customHeight="1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</row>
    <row r="748" ht="15.75" customHeight="1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</row>
    <row r="749" ht="15.75" customHeight="1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</row>
    <row r="750" ht="15.75" customHeight="1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</row>
    <row r="751" ht="15.75" customHeight="1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</row>
    <row r="752" ht="15.75" customHeight="1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</row>
    <row r="753" ht="15.75" customHeight="1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</row>
    <row r="754" ht="15.75" customHeight="1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</row>
    <row r="755" ht="15.75" customHeight="1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</row>
    <row r="756" ht="15.75" customHeight="1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</row>
    <row r="757" ht="15.75" customHeight="1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</row>
    <row r="758" ht="15.75" customHeight="1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</row>
    <row r="759" ht="15.75" customHeight="1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</row>
    <row r="760" ht="15.75" customHeight="1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</row>
    <row r="761" ht="15.75" customHeight="1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</row>
    <row r="762" ht="15.75" customHeight="1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</row>
    <row r="763" ht="15.75" customHeight="1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</row>
    <row r="764" ht="15.75" customHeight="1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</row>
    <row r="765" ht="15.75" customHeight="1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</row>
    <row r="766" ht="15.75" customHeight="1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</row>
    <row r="767" ht="15.75" customHeight="1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</row>
    <row r="768" ht="15.75" customHeight="1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</row>
    <row r="769" ht="15.75" customHeight="1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</row>
    <row r="770" ht="15.75" customHeight="1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</row>
    <row r="771" ht="15.75" customHeight="1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</row>
    <row r="772" ht="15.75" customHeight="1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</row>
    <row r="773" ht="15.75" customHeight="1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</row>
    <row r="774" ht="15.75" customHeight="1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</row>
    <row r="775" ht="15.75" customHeight="1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</row>
    <row r="776" ht="15.75" customHeight="1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</row>
    <row r="777" ht="15.75" customHeight="1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</row>
    <row r="778" ht="15.75" customHeight="1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</row>
    <row r="779" ht="15.75" customHeight="1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</row>
    <row r="780" ht="15.75" customHeight="1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</row>
    <row r="781" ht="15.75" customHeight="1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</row>
    <row r="782" ht="15.75" customHeight="1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</row>
    <row r="783" ht="15.75" customHeight="1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</row>
    <row r="784" ht="15.75" customHeight="1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</row>
    <row r="785" ht="15.75" customHeight="1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</row>
    <row r="786" ht="15.75" customHeight="1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</row>
    <row r="787" ht="15.75" customHeight="1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</row>
    <row r="788" ht="15.75" customHeight="1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</row>
    <row r="789" ht="15.75" customHeight="1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</row>
    <row r="790" ht="15.75" customHeight="1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</row>
    <row r="791" ht="15.75" customHeight="1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</row>
    <row r="792" ht="15.75" customHeight="1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</row>
    <row r="793" ht="15.75" customHeight="1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</row>
    <row r="794" ht="15.75" customHeight="1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</row>
    <row r="795" ht="15.75" customHeight="1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</row>
    <row r="796" ht="15.75" customHeight="1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</row>
    <row r="797" ht="15.75" customHeight="1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</row>
    <row r="798" ht="15.75" customHeight="1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</row>
    <row r="799" ht="15.75" customHeight="1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</row>
    <row r="800" ht="15.75" customHeight="1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</row>
    <row r="801" ht="15.75" customHeight="1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</row>
    <row r="802" ht="15.75" customHeight="1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</row>
    <row r="803" ht="15.75" customHeight="1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</row>
    <row r="804" ht="15.75" customHeight="1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</row>
    <row r="805" ht="15.75" customHeight="1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</row>
    <row r="806" ht="15.75" customHeight="1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</row>
    <row r="807" ht="15.75" customHeight="1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</row>
    <row r="808" ht="15.75" customHeight="1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</row>
    <row r="809" ht="15.75" customHeight="1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</row>
    <row r="810" ht="15.75" customHeight="1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</row>
    <row r="811" ht="15.75" customHeight="1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</row>
    <row r="812" ht="15.75" customHeight="1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</row>
    <row r="813" ht="15.75" customHeight="1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</row>
    <row r="814" ht="15.75" customHeight="1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</row>
    <row r="815" ht="15.75" customHeight="1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</row>
    <row r="816" ht="15.75" customHeight="1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</row>
    <row r="817" ht="15.75" customHeight="1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</row>
    <row r="818" ht="15.75" customHeight="1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</row>
    <row r="819" ht="15.75" customHeight="1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</row>
    <row r="820" ht="15.75" customHeight="1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</row>
    <row r="821" ht="15.75" customHeight="1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</row>
    <row r="822" ht="15.75" customHeight="1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</row>
    <row r="823" ht="15.75" customHeight="1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</row>
    <row r="824" ht="15.75" customHeight="1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</row>
    <row r="825" ht="15.75" customHeight="1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</row>
    <row r="826" ht="15.75" customHeight="1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</row>
    <row r="827" ht="15.75" customHeight="1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</row>
    <row r="828" ht="15.75" customHeight="1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</row>
    <row r="829" ht="15.75" customHeight="1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</row>
    <row r="830" ht="15.75" customHeight="1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</row>
    <row r="831" ht="15.75" customHeight="1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</row>
    <row r="832" ht="15.75" customHeight="1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</row>
    <row r="833" ht="15.75" customHeight="1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</row>
    <row r="834" ht="15.75" customHeight="1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</row>
    <row r="835" ht="15.75" customHeight="1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</row>
    <row r="836" ht="15.75" customHeight="1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</row>
    <row r="837" ht="15.75" customHeight="1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</row>
    <row r="838" ht="15.75" customHeight="1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</row>
    <row r="839" ht="15.75" customHeight="1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</row>
    <row r="840" ht="15.75" customHeight="1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</row>
    <row r="841" ht="15.75" customHeight="1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</row>
    <row r="842" ht="15.75" customHeight="1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</row>
    <row r="843" ht="15.75" customHeight="1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</row>
    <row r="844" ht="15.75" customHeight="1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</row>
    <row r="845" ht="15.75" customHeight="1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</row>
    <row r="846" ht="15.75" customHeight="1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</row>
    <row r="847" ht="15.75" customHeight="1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</row>
    <row r="848" ht="15.75" customHeight="1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</row>
    <row r="849" ht="15.75" customHeight="1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</row>
    <row r="850" ht="15.75" customHeight="1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</row>
    <row r="851" ht="15.75" customHeight="1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</row>
    <row r="852" ht="15.75" customHeight="1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</row>
    <row r="853" ht="15.75" customHeight="1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</row>
    <row r="854" ht="15.75" customHeight="1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</row>
    <row r="855" ht="15.75" customHeight="1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</row>
    <row r="856" ht="15.75" customHeight="1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</row>
    <row r="857" ht="15.75" customHeight="1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</row>
    <row r="858" ht="15.75" customHeight="1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</row>
    <row r="859" ht="15.75" customHeight="1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</row>
    <row r="860" ht="15.75" customHeight="1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</row>
    <row r="861" ht="15.75" customHeight="1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</row>
    <row r="862" ht="15.75" customHeight="1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</row>
    <row r="863" ht="15.75" customHeight="1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</row>
    <row r="864" ht="15.75" customHeight="1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</row>
    <row r="865" ht="15.75" customHeight="1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</row>
    <row r="866" ht="15.75" customHeight="1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</row>
    <row r="867" ht="15.75" customHeight="1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</row>
    <row r="868" ht="15.75" customHeight="1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</row>
    <row r="869" ht="15.75" customHeight="1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</row>
    <row r="870" ht="15.75" customHeight="1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</row>
    <row r="871" ht="15.75" customHeight="1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</row>
    <row r="872" ht="15.75" customHeight="1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</row>
    <row r="873" ht="15.75" customHeight="1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</row>
    <row r="874" ht="15.75" customHeight="1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</row>
    <row r="875" ht="15.75" customHeight="1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</row>
    <row r="876" ht="15.75" customHeight="1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</row>
    <row r="877" ht="15.75" customHeight="1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</row>
    <row r="878" ht="15.75" customHeight="1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</row>
    <row r="879" ht="15.75" customHeight="1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</row>
    <row r="880" ht="15.75" customHeight="1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</row>
    <row r="881" ht="15.75" customHeight="1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</row>
    <row r="882" ht="15.75" customHeight="1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</row>
    <row r="883" ht="15.75" customHeight="1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</row>
    <row r="884" ht="15.75" customHeight="1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</row>
    <row r="885" ht="15.75" customHeight="1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</row>
    <row r="886" ht="15.75" customHeight="1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</row>
    <row r="887" ht="15.75" customHeight="1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</row>
    <row r="888" ht="15.75" customHeight="1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</row>
    <row r="889" ht="15.75" customHeight="1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</row>
    <row r="890" ht="15.75" customHeight="1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</row>
    <row r="891" ht="15.75" customHeight="1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</row>
    <row r="892" ht="15.75" customHeight="1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</row>
    <row r="893" ht="15.75" customHeight="1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</row>
    <row r="894" ht="15.75" customHeight="1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</row>
    <row r="895" ht="15.75" customHeight="1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</row>
    <row r="896" ht="15.75" customHeight="1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</row>
    <row r="897" ht="15.75" customHeight="1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</row>
    <row r="898" ht="15.75" customHeight="1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</row>
    <row r="899" ht="15.75" customHeight="1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</row>
    <row r="900" ht="15.75" customHeight="1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</row>
    <row r="901" ht="15.75" customHeight="1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</row>
    <row r="902" ht="15.75" customHeight="1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</row>
    <row r="903" ht="15.75" customHeight="1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</row>
    <row r="904" ht="15.75" customHeight="1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</row>
    <row r="905" ht="15.75" customHeight="1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</row>
    <row r="906" ht="15.75" customHeight="1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</row>
    <row r="907" ht="15.75" customHeight="1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</row>
    <row r="908" ht="15.75" customHeight="1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</row>
    <row r="909" ht="15.75" customHeight="1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</row>
    <row r="910" ht="15.75" customHeight="1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</row>
    <row r="911" ht="15.75" customHeight="1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</row>
    <row r="912" ht="15.75" customHeight="1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</row>
    <row r="913" ht="15.75" customHeight="1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</row>
    <row r="914" ht="15.75" customHeight="1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</row>
    <row r="915" ht="15.75" customHeight="1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</row>
    <row r="916" ht="15.75" customHeight="1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</row>
    <row r="917" ht="15.75" customHeight="1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</row>
    <row r="918" ht="15.75" customHeight="1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</row>
    <row r="919" ht="15.75" customHeight="1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</row>
    <row r="920" ht="15.75" customHeight="1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</row>
    <row r="921" ht="15.75" customHeight="1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</row>
    <row r="922" ht="15.75" customHeight="1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</row>
    <row r="923" ht="15.75" customHeight="1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</row>
    <row r="924" ht="15.75" customHeight="1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</row>
    <row r="925" ht="15.75" customHeight="1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</row>
    <row r="926" ht="15.75" customHeight="1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</row>
    <row r="927" ht="15.75" customHeight="1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</row>
    <row r="928" ht="15.75" customHeight="1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</row>
    <row r="929" ht="15.75" customHeight="1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</row>
    <row r="930" ht="15.75" customHeight="1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</row>
    <row r="931" ht="15.75" customHeight="1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</row>
    <row r="932" ht="15.75" customHeight="1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</row>
    <row r="933" ht="15.75" customHeight="1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</row>
    <row r="934" ht="15.75" customHeight="1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</row>
    <row r="935" ht="15.75" customHeight="1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</row>
    <row r="936" ht="15.75" customHeight="1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</row>
    <row r="937" ht="15.75" customHeight="1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</row>
    <row r="938" ht="15.75" customHeight="1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</row>
    <row r="939" ht="15.75" customHeight="1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</row>
    <row r="940" ht="15.75" customHeight="1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</row>
    <row r="941" ht="15.75" customHeight="1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</row>
    <row r="942" ht="15.75" customHeight="1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</row>
    <row r="943" ht="15.75" customHeight="1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</row>
    <row r="944" ht="15.75" customHeight="1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</row>
    <row r="945" ht="15.75" customHeight="1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  <c r="Z945" s="126"/>
    </row>
    <row r="946" ht="15.75" customHeight="1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  <c r="Z946" s="126"/>
    </row>
    <row r="947" ht="15.75" customHeight="1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  <c r="Z947" s="126"/>
    </row>
    <row r="948" ht="15.75" customHeight="1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  <c r="Z948" s="126"/>
    </row>
    <row r="949" ht="15.75" customHeight="1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  <c r="Z949" s="126"/>
    </row>
    <row r="950" ht="15.75" customHeight="1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  <c r="Z950" s="126"/>
    </row>
    <row r="951" ht="15.75" customHeight="1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  <c r="Z951" s="126"/>
    </row>
    <row r="952" ht="15.75" customHeight="1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  <c r="Z952" s="126"/>
    </row>
    <row r="953" ht="15.75" customHeight="1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  <c r="Z953" s="126"/>
    </row>
    <row r="954" ht="15.75" customHeight="1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  <c r="Z954" s="126"/>
    </row>
    <row r="955" ht="15.75" customHeight="1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  <c r="Z955" s="126"/>
    </row>
    <row r="956" ht="15.75" customHeight="1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  <c r="Z956" s="126"/>
    </row>
    <row r="957" ht="15.75" customHeight="1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  <c r="Z957" s="126"/>
    </row>
    <row r="958" ht="15.75" customHeight="1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  <c r="Z958" s="126"/>
    </row>
    <row r="959" ht="15.75" customHeight="1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  <c r="Z959" s="126"/>
    </row>
    <row r="960" ht="15.75" customHeight="1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  <c r="Z960" s="126"/>
    </row>
    <row r="961" ht="15.75" customHeight="1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  <c r="Z961" s="126"/>
    </row>
    <row r="962" ht="15.75" customHeight="1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  <c r="Z962" s="126"/>
    </row>
    <row r="963" ht="15.75" customHeight="1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  <c r="Z963" s="126"/>
    </row>
    <row r="964" ht="15.75" customHeight="1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  <c r="Z964" s="126"/>
    </row>
    <row r="965" ht="15.75" customHeight="1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  <c r="Z965" s="126"/>
    </row>
    <row r="966" ht="15.75" customHeight="1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  <c r="Z966" s="126"/>
    </row>
    <row r="967" ht="15.75" customHeight="1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  <c r="Z967" s="126"/>
    </row>
    <row r="968" ht="15.75" customHeight="1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  <c r="Z968" s="126"/>
    </row>
    <row r="969" ht="15.75" customHeight="1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  <c r="Z969" s="126"/>
    </row>
    <row r="970" ht="15.75" customHeight="1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  <c r="Z970" s="126"/>
    </row>
    <row r="971" ht="15.75" customHeight="1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  <c r="Z971" s="126"/>
    </row>
    <row r="972" ht="15.75" customHeight="1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  <c r="Z972" s="126"/>
    </row>
    <row r="973" ht="15.75" customHeight="1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  <c r="Z973" s="126"/>
    </row>
    <row r="974" ht="15.75" customHeight="1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  <c r="Z974" s="126"/>
    </row>
    <row r="975" ht="15.75" customHeight="1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  <c r="Z975" s="126"/>
    </row>
    <row r="976" ht="15.75" customHeight="1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  <c r="Z976" s="126"/>
    </row>
    <row r="977" ht="15.75" customHeight="1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  <c r="Z977" s="126"/>
    </row>
    <row r="978" ht="15.75" customHeight="1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  <c r="Z978" s="126"/>
    </row>
    <row r="979" ht="15.75" customHeight="1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26"/>
      <c r="U979" s="126"/>
      <c r="V979" s="126"/>
      <c r="W979" s="126"/>
      <c r="X979" s="126"/>
      <c r="Y979" s="126"/>
      <c r="Z979" s="126"/>
    </row>
    <row r="980" ht="15.75" customHeight="1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26"/>
      <c r="U980" s="126"/>
      <c r="V980" s="126"/>
      <c r="W980" s="126"/>
      <c r="X980" s="126"/>
      <c r="Y980" s="126"/>
      <c r="Z980" s="126"/>
    </row>
    <row r="981" ht="15.75" customHeight="1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26"/>
      <c r="U981" s="126"/>
      <c r="V981" s="126"/>
      <c r="W981" s="126"/>
      <c r="X981" s="126"/>
      <c r="Y981" s="126"/>
      <c r="Z981" s="126"/>
    </row>
    <row r="982" ht="15.75" customHeight="1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26"/>
      <c r="U982" s="126"/>
      <c r="V982" s="126"/>
      <c r="W982" s="126"/>
      <c r="X982" s="126"/>
      <c r="Y982" s="126"/>
      <c r="Z982" s="126"/>
    </row>
    <row r="983" ht="15.75" customHeight="1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26"/>
      <c r="U983" s="126"/>
      <c r="V983" s="126"/>
      <c r="W983" s="126"/>
      <c r="X983" s="126"/>
      <c r="Y983" s="126"/>
      <c r="Z983" s="126"/>
    </row>
    <row r="984" ht="15.75" customHeight="1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26"/>
      <c r="U984" s="126"/>
      <c r="V984" s="126"/>
      <c r="W984" s="126"/>
      <c r="X984" s="126"/>
      <c r="Y984" s="126"/>
      <c r="Z984" s="126"/>
    </row>
    <row r="985" ht="15.75" customHeight="1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  <c r="Z985" s="126"/>
    </row>
    <row r="986" ht="15.75" customHeight="1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26"/>
      <c r="U986" s="126"/>
      <c r="V986" s="126"/>
      <c r="W986" s="126"/>
      <c r="X986" s="126"/>
      <c r="Y986" s="126"/>
      <c r="Z986" s="126"/>
    </row>
    <row r="987" ht="15.75" customHeight="1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26"/>
      <c r="U987" s="126"/>
      <c r="V987" s="126"/>
      <c r="W987" s="126"/>
      <c r="X987" s="126"/>
      <c r="Y987" s="126"/>
      <c r="Z987" s="126"/>
    </row>
    <row r="988" ht="15.75" customHeight="1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26"/>
      <c r="U988" s="126"/>
      <c r="V988" s="126"/>
      <c r="W988" s="126"/>
      <c r="X988" s="126"/>
      <c r="Y988" s="126"/>
      <c r="Z988" s="126"/>
    </row>
    <row r="989" ht="15.75" customHeight="1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26"/>
      <c r="U989" s="126"/>
      <c r="V989" s="126"/>
      <c r="W989" s="126"/>
      <c r="X989" s="126"/>
      <c r="Y989" s="126"/>
      <c r="Z989" s="126"/>
    </row>
    <row r="990" ht="15.75" customHeight="1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26"/>
      <c r="U990" s="126"/>
      <c r="V990" s="126"/>
      <c r="W990" s="126"/>
      <c r="X990" s="126"/>
      <c r="Y990" s="126"/>
      <c r="Z990" s="126"/>
    </row>
    <row r="991" ht="15.75" customHeight="1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26"/>
      <c r="U991" s="126"/>
      <c r="V991" s="126"/>
      <c r="W991" s="126"/>
      <c r="X991" s="126"/>
      <c r="Y991" s="126"/>
      <c r="Z991" s="126"/>
    </row>
    <row r="992" ht="15.75" customHeight="1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26"/>
      <c r="U992" s="126"/>
      <c r="V992" s="126"/>
      <c r="W992" s="126"/>
      <c r="X992" s="126"/>
      <c r="Y992" s="126"/>
      <c r="Z992" s="126"/>
    </row>
    <row r="993" ht="15.75" customHeight="1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26"/>
      <c r="U993" s="126"/>
      <c r="V993" s="126"/>
      <c r="W993" s="126"/>
      <c r="X993" s="126"/>
      <c r="Y993" s="126"/>
      <c r="Z993" s="126"/>
    </row>
    <row r="994" ht="15.75" customHeight="1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26"/>
      <c r="U994" s="126"/>
      <c r="V994" s="126"/>
      <c r="W994" s="126"/>
      <c r="X994" s="126"/>
      <c r="Y994" s="126"/>
      <c r="Z994" s="126"/>
    </row>
    <row r="995" ht="15.75" customHeight="1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26"/>
      <c r="U995" s="126"/>
      <c r="V995" s="126"/>
      <c r="W995" s="126"/>
      <c r="X995" s="126"/>
      <c r="Y995" s="126"/>
      <c r="Z995" s="126"/>
    </row>
    <row r="996" ht="15.75" customHeight="1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26"/>
      <c r="U996" s="126"/>
      <c r="V996" s="126"/>
      <c r="W996" s="126"/>
      <c r="X996" s="126"/>
      <c r="Y996" s="126"/>
      <c r="Z996" s="126"/>
    </row>
    <row r="997" ht="15.75" customHeight="1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126"/>
      <c r="U997" s="126"/>
      <c r="V997" s="126"/>
      <c r="W997" s="126"/>
      <c r="X997" s="126"/>
      <c r="Y997" s="126"/>
      <c r="Z997" s="126"/>
    </row>
    <row r="998" ht="15.75" customHeight="1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126"/>
      <c r="U998" s="126"/>
      <c r="V998" s="126"/>
      <c r="W998" s="126"/>
      <c r="X998" s="126"/>
      <c r="Y998" s="126"/>
      <c r="Z998" s="126"/>
    </row>
    <row r="999" ht="15.75" customHeight="1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126"/>
      <c r="U999" s="126"/>
      <c r="V999" s="126"/>
      <c r="W999" s="126"/>
      <c r="X999" s="126"/>
      <c r="Y999" s="126"/>
      <c r="Z999" s="126"/>
    </row>
    <row r="1000" ht="15.75" customHeight="1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126"/>
      <c r="U1000" s="126"/>
      <c r="V1000" s="126"/>
      <c r="W1000" s="126"/>
      <c r="X1000" s="126"/>
      <c r="Y1000" s="126"/>
      <c r="Z1000" s="126"/>
    </row>
  </sheetData>
  <mergeCells count="30">
    <mergeCell ref="A1:O1"/>
    <mergeCell ref="A2:O2"/>
    <mergeCell ref="A3:O3"/>
    <mergeCell ref="A4:O4"/>
    <mergeCell ref="A5:O5"/>
    <mergeCell ref="A6:O6"/>
    <mergeCell ref="A7:O7"/>
    <mergeCell ref="A8:O8"/>
    <mergeCell ref="N9:O9"/>
    <mergeCell ref="A10:A13"/>
    <mergeCell ref="B10:O10"/>
    <mergeCell ref="B11:O11"/>
    <mergeCell ref="B12:N12"/>
    <mergeCell ref="O12:O13"/>
    <mergeCell ref="B31:C31"/>
    <mergeCell ref="B32:C32"/>
    <mergeCell ref="B33:C33"/>
    <mergeCell ref="B34:C34"/>
    <mergeCell ref="B35:C35"/>
    <mergeCell ref="B36:C36"/>
    <mergeCell ref="B37:C37"/>
    <mergeCell ref="A52:O52"/>
    <mergeCell ref="A53:O53"/>
    <mergeCell ref="B38:C38"/>
    <mergeCell ref="B39:C39"/>
    <mergeCell ref="A47:O47"/>
    <mergeCell ref="A48:O48"/>
    <mergeCell ref="A49:O49"/>
    <mergeCell ref="A50:O50"/>
    <mergeCell ref="A51:O51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81.86"/>
    <col customWidth="1" min="2" max="2" width="16.0"/>
    <col customWidth="1" min="3" max="3" width="16.14"/>
    <col customWidth="1" min="4" max="4" width="14.29"/>
    <col customWidth="1" min="5" max="5" width="14.14"/>
    <col customWidth="1" min="6" max="6" width="13.71"/>
    <col customWidth="1" min="7" max="7" width="15.14"/>
    <col customWidth="1" min="8" max="8" width="13.0"/>
    <col customWidth="1" min="9" max="9" width="13.86"/>
    <col customWidth="1" min="10" max="10" width="13.57"/>
    <col customWidth="1" min="11" max="11" width="13.86"/>
    <col customWidth="1" min="12" max="13" width="13.43"/>
    <col customWidth="1" min="14" max="14" width="14.86"/>
  </cols>
  <sheetData>
    <row r="1" ht="22.5" customHeight="1">
      <c r="A1" s="173"/>
      <c r="B1" s="174"/>
      <c r="C1" s="175"/>
      <c r="D1" s="176"/>
      <c r="E1" s="174"/>
      <c r="F1" s="174"/>
      <c r="G1" s="174"/>
      <c r="H1" s="174"/>
      <c r="I1" s="174"/>
      <c r="J1" s="174"/>
      <c r="K1" s="174"/>
      <c r="L1" s="174"/>
      <c r="M1" s="174"/>
      <c r="N1" s="173"/>
      <c r="O1" s="76"/>
      <c r="P1" s="113"/>
      <c r="Q1" s="76"/>
      <c r="R1" s="76"/>
      <c r="S1" s="76"/>
      <c r="T1" s="76"/>
    </row>
    <row r="2" ht="15.75" customHeight="1">
      <c r="A2" s="177" t="s">
        <v>124</v>
      </c>
      <c r="B2" s="178">
        <v>43709.0</v>
      </c>
      <c r="C2" s="178">
        <f t="shared" ref="C2:M2" si="1">B2+31</f>
        <v>43740</v>
      </c>
      <c r="D2" s="178">
        <f t="shared" si="1"/>
        <v>43771</v>
      </c>
      <c r="E2" s="178">
        <f t="shared" si="1"/>
        <v>43802</v>
      </c>
      <c r="F2" s="178">
        <f t="shared" si="1"/>
        <v>43833</v>
      </c>
      <c r="G2" s="178">
        <f t="shared" si="1"/>
        <v>43864</v>
      </c>
      <c r="H2" s="178">
        <f t="shared" si="1"/>
        <v>43895</v>
      </c>
      <c r="I2" s="178">
        <f t="shared" si="1"/>
        <v>43926</v>
      </c>
      <c r="J2" s="178">
        <f t="shared" si="1"/>
        <v>43957</v>
      </c>
      <c r="K2" s="178">
        <f t="shared" si="1"/>
        <v>43988</v>
      </c>
      <c r="L2" s="178">
        <f t="shared" si="1"/>
        <v>44019</v>
      </c>
      <c r="M2" s="178">
        <f t="shared" si="1"/>
        <v>44050</v>
      </c>
      <c r="N2" s="179" t="s">
        <v>125</v>
      </c>
      <c r="O2" s="115" t="s">
        <v>126</v>
      </c>
      <c r="P2" s="115" t="s">
        <v>127</v>
      </c>
      <c r="Q2" s="115" t="s">
        <v>128</v>
      </c>
      <c r="R2" s="76"/>
      <c r="S2" s="76"/>
      <c r="T2" s="76"/>
    </row>
    <row r="3" ht="15.75" customHeight="1">
      <c r="A3" s="180" t="s">
        <v>129</v>
      </c>
      <c r="B3" s="181">
        <v>1.905873484E7</v>
      </c>
      <c r="C3" s="181">
        <v>1.886468089E7</v>
      </c>
      <c r="D3" s="181">
        <v>1.882702891E7</v>
      </c>
      <c r="E3" s="181">
        <f>18115394.29</f>
        <v>18115394.29</v>
      </c>
      <c r="F3" s="181">
        <v>1.811958953E7</v>
      </c>
      <c r="G3" s="181">
        <v>1.813186242E7</v>
      </c>
      <c r="H3" s="181">
        <v>1.811021044E7</v>
      </c>
      <c r="I3" s="181">
        <f>18077095.5</f>
        <v>18077095.5</v>
      </c>
      <c r="J3" s="181">
        <f>18111247.24</f>
        <v>18111247.24</v>
      </c>
      <c r="K3" s="181">
        <v>1.812161659E7</v>
      </c>
      <c r="L3" s="181">
        <v>1.810789174E7</v>
      </c>
      <c r="M3" s="181">
        <v>1.804490103E7</v>
      </c>
      <c r="N3" s="182">
        <f t="shared" ref="N3:N14" si="2">SUM(B3:M3)</f>
        <v>219690253.4</v>
      </c>
      <c r="O3" s="183" t="s">
        <v>9</v>
      </c>
      <c r="P3" s="184">
        <f>EFISCO!G3+EFISCO!G23+EFISCO!G42+EFISCO!G61+EFISCO!G80+EFISCO!G99+EFISCO!G118+EFISCO!G137+EFISCO!G156</f>
        <v>211225137.6</v>
      </c>
      <c r="Q3" s="119">
        <f t="shared" ref="Q3:Q14" si="3">N3-P3</f>
        <v>8465115.83</v>
      </c>
      <c r="R3" s="43"/>
    </row>
    <row r="4" ht="15.75" customHeight="1">
      <c r="A4" s="180" t="s">
        <v>130</v>
      </c>
      <c r="B4" s="185">
        <v>-211177.57</v>
      </c>
      <c r="C4" s="185">
        <v>-214289.24</v>
      </c>
      <c r="D4" s="185">
        <v>-204101.6</v>
      </c>
      <c r="E4" s="185">
        <v>-189744.85</v>
      </c>
      <c r="F4" s="185">
        <v>-181263.37</v>
      </c>
      <c r="G4" s="185">
        <v>-178991.55</v>
      </c>
      <c r="H4" s="185">
        <v>-180330.93</v>
      </c>
      <c r="I4" s="185">
        <v>-178801.05</v>
      </c>
      <c r="J4" s="185">
        <v>-178801.05</v>
      </c>
      <c r="K4" s="185">
        <v>-178801.05</v>
      </c>
      <c r="L4" s="185">
        <v>-179218.31</v>
      </c>
      <c r="M4" s="185">
        <v>-183268.15</v>
      </c>
      <c r="N4" s="182">
        <f t="shared" si="2"/>
        <v>-2258788.72</v>
      </c>
      <c r="O4" s="183" t="s">
        <v>9</v>
      </c>
      <c r="P4" s="186"/>
      <c r="Q4" s="119">
        <f t="shared" si="3"/>
        <v>-2258788.72</v>
      </c>
      <c r="R4" s="43"/>
      <c r="S4" s="187"/>
    </row>
    <row r="5" ht="15.75" customHeight="1">
      <c r="A5" s="188" t="s">
        <v>131</v>
      </c>
      <c r="B5" s="185">
        <v>-396417.66</v>
      </c>
      <c r="C5" s="185">
        <v>-396151.89</v>
      </c>
      <c r="D5" s="185">
        <v>-398364.14</v>
      </c>
      <c r="E5" s="185">
        <f>-362901.92-362901.92</f>
        <v>-725803.84</v>
      </c>
      <c r="F5" s="185">
        <v>-362901.92</v>
      </c>
      <c r="G5" s="185">
        <v>-362901.92</v>
      </c>
      <c r="H5" s="185">
        <v>-362901.92</v>
      </c>
      <c r="I5" s="185">
        <v>-362901.92</v>
      </c>
      <c r="J5" s="185">
        <v>-362901.92</v>
      </c>
      <c r="K5" s="189">
        <v>-362901.92</v>
      </c>
      <c r="L5" s="190">
        <v>-362901.92</v>
      </c>
      <c r="M5" s="185">
        <v>-362901.92</v>
      </c>
      <c r="N5" s="182">
        <f t="shared" si="2"/>
        <v>-4819952.89</v>
      </c>
      <c r="O5" s="183" t="s">
        <v>9</v>
      </c>
      <c r="P5" s="186"/>
      <c r="Q5" s="119">
        <f t="shared" si="3"/>
        <v>-4819952.89</v>
      </c>
      <c r="R5" s="43"/>
    </row>
    <row r="6" ht="15.75" customHeight="1">
      <c r="A6" s="188" t="s">
        <v>132</v>
      </c>
      <c r="B6" s="185">
        <v>-113570.7</v>
      </c>
      <c r="C6" s="185">
        <v>-113570.7</v>
      </c>
      <c r="D6" s="185">
        <v>-120092.14</v>
      </c>
      <c r="E6" s="185">
        <f>-120092.14-120092.14</f>
        <v>-240184.28</v>
      </c>
      <c r="F6" s="185">
        <v>-99869.55</v>
      </c>
      <c r="G6" s="185">
        <v>-99869.55</v>
      </c>
      <c r="H6" s="185">
        <v>-99869.55</v>
      </c>
      <c r="I6" s="185">
        <v>-99869.55</v>
      </c>
      <c r="J6" s="185">
        <v>-99869.55</v>
      </c>
      <c r="K6" s="185">
        <v>-99869.55</v>
      </c>
      <c r="L6" s="189">
        <v>-99869.55</v>
      </c>
      <c r="M6" s="185">
        <v>-99869.55</v>
      </c>
      <c r="N6" s="182">
        <f t="shared" si="2"/>
        <v>-1386374.22</v>
      </c>
      <c r="O6" s="183" t="s">
        <v>9</v>
      </c>
      <c r="P6" s="186"/>
      <c r="Q6" s="119">
        <f t="shared" si="3"/>
        <v>-1386374.22</v>
      </c>
      <c r="R6" s="119">
        <f>SUM(Q4:Q6)</f>
        <v>-8465115.83</v>
      </c>
      <c r="S6" s="191">
        <f>Q3+R6</f>
        <v>0.00000004284083843</v>
      </c>
    </row>
    <row r="7" ht="15.75" customHeight="1">
      <c r="A7" s="180" t="s">
        <v>133</v>
      </c>
      <c r="B7" s="181">
        <v>378043.59</v>
      </c>
      <c r="C7" s="181">
        <v>329184.18</v>
      </c>
      <c r="D7" s="181">
        <v>360365.15</v>
      </c>
      <c r="E7" s="181">
        <v>485510.9</v>
      </c>
      <c r="F7" s="181">
        <v>245467.88</v>
      </c>
      <c r="G7" s="181">
        <v>245950.05</v>
      </c>
      <c r="H7" s="181">
        <v>246029.11</v>
      </c>
      <c r="I7" s="181">
        <v>259912.52</v>
      </c>
      <c r="J7" s="181">
        <v>270026.22</v>
      </c>
      <c r="K7" s="181">
        <v>281946.18</v>
      </c>
      <c r="L7" s="181">
        <v>284526.68</v>
      </c>
      <c r="M7" s="181">
        <v>290965.74</v>
      </c>
      <c r="N7" s="182">
        <f t="shared" si="2"/>
        <v>3677928.2</v>
      </c>
      <c r="O7" s="183" t="s">
        <v>12</v>
      </c>
      <c r="P7" s="184">
        <f>EFISCO!G4+EFISCO!G24+EFISCO!G43+EFISCO!G62+EFISCO!G81+EFISCO!G100+EFISCO!G119+EFISCO!G138+EFISCO!G157</f>
        <v>3677928.2</v>
      </c>
      <c r="Q7" s="117">
        <f t="shared" si="3"/>
        <v>-0.0000000009313225746</v>
      </c>
      <c r="R7" s="43"/>
      <c r="S7" s="43"/>
      <c r="T7" s="43"/>
    </row>
    <row r="8" ht="15.75" customHeight="1">
      <c r="A8" s="180" t="s">
        <v>134</v>
      </c>
      <c r="B8" s="181">
        <v>676825.12</v>
      </c>
      <c r="C8" s="181">
        <v>677066.09</v>
      </c>
      <c r="D8" s="181">
        <v>660395.99</v>
      </c>
      <c r="E8" s="181">
        <v>660395.99</v>
      </c>
      <c r="F8" s="181">
        <v>660395.99</v>
      </c>
      <c r="G8" s="181">
        <v>660395.99</v>
      </c>
      <c r="H8" s="181">
        <v>667624.79</v>
      </c>
      <c r="I8" s="181">
        <v>667624.79</v>
      </c>
      <c r="J8" s="181">
        <v>667624.79</v>
      </c>
      <c r="K8" s="181">
        <v>667624.79</v>
      </c>
      <c r="L8" s="181">
        <v>667624.79</v>
      </c>
      <c r="M8" s="181">
        <v>667624.79</v>
      </c>
      <c r="N8" s="182">
        <f t="shared" si="2"/>
        <v>8001223.91</v>
      </c>
      <c r="O8" s="183" t="s">
        <v>14</v>
      </c>
      <c r="P8" s="184">
        <f>EFISCO!G5+EFISCO!G25+EFISCO!G44+EFISCO!G63+EFISCO!G82+EFISCO!G101+EFISCO!G120+EFISCO!G139+EFISCO!G158</f>
        <v>8001223.91</v>
      </c>
      <c r="Q8" s="119">
        <f t="shared" si="3"/>
        <v>0</v>
      </c>
      <c r="R8" s="43"/>
      <c r="S8" s="43"/>
      <c r="T8" s="43"/>
    </row>
    <row r="9" ht="15.75" customHeight="1">
      <c r="A9" s="180" t="s">
        <v>135</v>
      </c>
      <c r="B9" s="181">
        <v>616040.96</v>
      </c>
      <c r="C9" s="181">
        <v>605350.23</v>
      </c>
      <c r="D9" s="181">
        <v>600542.27</v>
      </c>
      <c r="E9" s="181">
        <v>530579.58</v>
      </c>
      <c r="F9" s="181">
        <v>531490.29</v>
      </c>
      <c r="G9" s="181">
        <v>531761.85</v>
      </c>
      <c r="H9" s="181">
        <v>530782.18</v>
      </c>
      <c r="I9" s="181">
        <v>527686.66</v>
      </c>
      <c r="J9" s="181">
        <v>527686.66</v>
      </c>
      <c r="K9" s="181">
        <v>528108.71</v>
      </c>
      <c r="L9" s="181">
        <v>528108.71</v>
      </c>
      <c r="M9" s="181">
        <v>528131.59</v>
      </c>
      <c r="N9" s="182">
        <f t="shared" si="2"/>
        <v>6586269.69</v>
      </c>
      <c r="O9" s="183" t="s">
        <v>18</v>
      </c>
      <c r="P9" s="184">
        <f>EFISCO!G7+EFISCO!G26+EFISCO!G45+EFISCO!G64+EFISCO!G83+EFISCO!G102+EFISCO!G121+EFISCO!G140+EFISCO!G159</f>
        <v>6586269.69</v>
      </c>
      <c r="Q9" s="119">
        <f t="shared" si="3"/>
        <v>0</v>
      </c>
      <c r="R9" s="43"/>
      <c r="S9" s="43"/>
      <c r="T9" s="43"/>
    </row>
    <row r="10" ht="15.75" customHeight="1">
      <c r="A10" s="192" t="s">
        <v>136</v>
      </c>
      <c r="B10" s="181">
        <v>16735.82</v>
      </c>
      <c r="C10" s="181">
        <v>23057.69</v>
      </c>
      <c r="D10" s="181">
        <v>0.0</v>
      </c>
      <c r="E10" s="181">
        <f>12801.07+18727289.01</f>
        <v>18740090.08</v>
      </c>
      <c r="F10" s="181">
        <v>0.0</v>
      </c>
      <c r="G10" s="181">
        <v>2340.0</v>
      </c>
      <c r="H10" s="181">
        <v>0.0</v>
      </c>
      <c r="I10" s="181">
        <v>0.0</v>
      </c>
      <c r="J10" s="181">
        <v>0.0</v>
      </c>
      <c r="K10" s="181">
        <v>0.0</v>
      </c>
      <c r="L10" s="181">
        <v>6258.7</v>
      </c>
      <c r="M10" s="181">
        <v>28252.04</v>
      </c>
      <c r="N10" s="182">
        <f t="shared" si="2"/>
        <v>18816734.33</v>
      </c>
      <c r="O10" s="183" t="s">
        <v>20</v>
      </c>
      <c r="P10" s="184">
        <f>EFISCO!G8+EFISCO!G27+EFISCO!G46+EFISCO!G65+EFISCO!G84+EFISCO!G103+EFISCO!G122+EFISCO!G141+EFISCO!G160</f>
        <v>18816734.33</v>
      </c>
      <c r="Q10" s="119">
        <f t="shared" si="3"/>
        <v>0.000000003725290298</v>
      </c>
      <c r="R10" s="43"/>
      <c r="S10" s="43"/>
      <c r="T10" s="43"/>
    </row>
    <row r="11" ht="15.75" customHeight="1">
      <c r="A11" s="188" t="s">
        <v>137</v>
      </c>
      <c r="B11" s="181">
        <v>19800.0</v>
      </c>
      <c r="C11" s="181">
        <f>16000</f>
        <v>16000</v>
      </c>
      <c r="D11" s="181">
        <f>17600+1000</f>
        <v>18600</v>
      </c>
      <c r="E11" s="181">
        <v>17600.0</v>
      </c>
      <c r="F11" s="181">
        <v>17800.0</v>
      </c>
      <c r="G11" s="181">
        <v>13600.0</v>
      </c>
      <c r="H11" s="181">
        <v>18400.0</v>
      </c>
      <c r="I11" s="181">
        <v>12000.0</v>
      </c>
      <c r="J11" s="181">
        <v>10800.0</v>
      </c>
      <c r="K11" s="181">
        <v>12400.0</v>
      </c>
      <c r="L11" s="181">
        <v>12400.0</v>
      </c>
      <c r="M11" s="181">
        <v>17000.0</v>
      </c>
      <c r="N11" s="182">
        <f t="shared" si="2"/>
        <v>186400</v>
      </c>
      <c r="O11" s="183" t="s">
        <v>24</v>
      </c>
      <c r="P11" s="184">
        <f>EFISCO!G10+EFISCO!G29+EFISCO!G48+EFISCO!G67+EFISCO!G86+EFISCO!G105+EFISCO!G124+EFISCO!G143+EFISCO!G162</f>
        <v>186400</v>
      </c>
      <c r="Q11" s="119">
        <f t="shared" si="3"/>
        <v>0</v>
      </c>
      <c r="R11" s="43"/>
      <c r="S11" s="43"/>
      <c r="T11" s="43"/>
    </row>
    <row r="12" ht="15.75" customHeight="1">
      <c r="A12" s="180" t="s">
        <v>138</v>
      </c>
      <c r="B12" s="181">
        <v>21400.0</v>
      </c>
      <c r="C12" s="181">
        <v>22800.0</v>
      </c>
      <c r="D12" s="181">
        <v>20600.0</v>
      </c>
      <c r="E12" s="181">
        <v>21600.0</v>
      </c>
      <c r="F12" s="181">
        <v>21300.0</v>
      </c>
      <c r="G12" s="181">
        <v>18400.0</v>
      </c>
      <c r="H12" s="181">
        <v>20000.0</v>
      </c>
      <c r="I12" s="181">
        <v>12200.0</v>
      </c>
      <c r="J12" s="181">
        <v>11800.0</v>
      </c>
      <c r="K12" s="181">
        <v>14600.0</v>
      </c>
      <c r="L12" s="181">
        <v>16200.0</v>
      </c>
      <c r="M12" s="181">
        <v>18000.0</v>
      </c>
      <c r="N12" s="182">
        <f t="shared" si="2"/>
        <v>218900</v>
      </c>
      <c r="O12" s="183" t="s">
        <v>26</v>
      </c>
      <c r="P12" s="184">
        <f>EFISCO!G11+EFISCO!G30+EFISCO!G49+EFISCO!G68+EFISCO!G87+EFISCO!G106+EFISCO!G125+EFISCO!G144+EFISCO!G163</f>
        <v>218900</v>
      </c>
      <c r="Q12" s="119">
        <f t="shared" si="3"/>
        <v>0</v>
      </c>
      <c r="R12" s="43"/>
      <c r="S12" s="43"/>
      <c r="T12" s="43"/>
    </row>
    <row r="13" ht="15.75" customHeight="1">
      <c r="A13" s="192" t="s">
        <v>139</v>
      </c>
      <c r="B13" s="181">
        <v>13704.21</v>
      </c>
      <c r="C13" s="181">
        <v>1695.6</v>
      </c>
      <c r="D13" s="181">
        <v>157.75</v>
      </c>
      <c r="E13" s="181">
        <v>0.0</v>
      </c>
      <c r="F13" s="193">
        <f>4000.39</f>
        <v>4000.39</v>
      </c>
      <c r="G13" s="181">
        <v>0.0</v>
      </c>
      <c r="H13" s="181">
        <v>0.0</v>
      </c>
      <c r="I13" s="181">
        <v>0.0</v>
      </c>
      <c r="J13" s="181">
        <v>0.0</v>
      </c>
      <c r="K13" s="181">
        <v>0.0</v>
      </c>
      <c r="L13" s="181">
        <v>0.0</v>
      </c>
      <c r="M13" s="181">
        <v>0.0</v>
      </c>
      <c r="N13" s="182">
        <f t="shared" si="2"/>
        <v>19557.95</v>
      </c>
      <c r="O13" s="183" t="s">
        <v>28</v>
      </c>
      <c r="P13" s="184">
        <f>EFISCO!G12+EFISCO!G31+EFISCO!G50+EFISCO!G69+EFISCO!G88+EFISCO!G107+EFISCO!G126+EFISCO!G145+EFISCO!G164</f>
        <v>19557.95</v>
      </c>
      <c r="Q13" s="119">
        <f t="shared" si="3"/>
        <v>0</v>
      </c>
      <c r="R13" s="43"/>
      <c r="S13" s="43"/>
      <c r="T13" s="43"/>
    </row>
    <row r="14" ht="15.75" customHeight="1">
      <c r="A14" s="194" t="s">
        <v>140</v>
      </c>
      <c r="B14" s="181">
        <v>47052.26</v>
      </c>
      <c r="C14" s="181">
        <f>33310.51+10384.16+3357.59</f>
        <v>47052.26</v>
      </c>
      <c r="D14" s="181">
        <v>71999.11</v>
      </c>
      <c r="E14" s="193">
        <f>17658.84+56063.59</f>
        <v>73722.43</v>
      </c>
      <c r="F14" s="181">
        <f>33310.51+14449.76+3357.6</f>
        <v>51117.87</v>
      </c>
      <c r="G14" s="181">
        <f>33310.51+10369.16+3357.6</f>
        <v>47037.27</v>
      </c>
      <c r="H14" s="181">
        <f t="shared" ref="H14:I14" si="4">10597.32+35873.26</f>
        <v>46470.58</v>
      </c>
      <c r="I14" s="181">
        <f t="shared" si="4"/>
        <v>46470.58</v>
      </c>
      <c r="J14" s="181">
        <v>49190.98</v>
      </c>
      <c r="K14" s="181">
        <v>46470.58</v>
      </c>
      <c r="L14" s="181">
        <f t="shared" ref="L14:M14" si="5">35873.26+10724.82</f>
        <v>46598.08</v>
      </c>
      <c r="M14" s="181">
        <f t="shared" si="5"/>
        <v>46598.08</v>
      </c>
      <c r="N14" s="182">
        <f t="shared" si="2"/>
        <v>619780.08</v>
      </c>
      <c r="O14" s="195" t="s">
        <v>30</v>
      </c>
      <c r="P14" s="196">
        <f>EFISCO!G13+EFISCO!G32+EFISCO!G51+EFISCO!G70+EFISCO!G89+EFISCO!G108+EFISCO!G127+EFISCO!G146+EFISCO!G165</f>
        <v>619780.08</v>
      </c>
      <c r="Q14" s="197">
        <f t="shared" si="3"/>
        <v>0.0000000001164153218</v>
      </c>
      <c r="R14" s="43"/>
      <c r="S14" s="43"/>
      <c r="T14" s="43"/>
    </row>
    <row r="15" ht="15.75" customHeight="1">
      <c r="A15" s="198" t="s">
        <v>141</v>
      </c>
      <c r="B15" s="199">
        <f t="shared" ref="B15:M15" si="6">SUM(B3:B14)</f>
        <v>20127170.87</v>
      </c>
      <c r="C15" s="199">
        <f t="shared" si="6"/>
        <v>19862875.11</v>
      </c>
      <c r="D15" s="199">
        <f t="shared" si="6"/>
        <v>19837131.3</v>
      </c>
      <c r="E15" s="199">
        <f t="shared" si="6"/>
        <v>37489160.3</v>
      </c>
      <c r="F15" s="199">
        <f t="shared" si="6"/>
        <v>19007127.11</v>
      </c>
      <c r="G15" s="199">
        <f t="shared" si="6"/>
        <v>19009584.56</v>
      </c>
      <c r="H15" s="199">
        <f t="shared" si="6"/>
        <v>18996414.7</v>
      </c>
      <c r="I15" s="199">
        <f t="shared" si="6"/>
        <v>18961417.53</v>
      </c>
      <c r="J15" s="199">
        <f t="shared" si="6"/>
        <v>19006803.37</v>
      </c>
      <c r="K15" s="199">
        <f t="shared" si="6"/>
        <v>19031194.33</v>
      </c>
      <c r="L15" s="199">
        <f t="shared" si="6"/>
        <v>19027618.92</v>
      </c>
      <c r="M15" s="199">
        <f t="shared" si="6"/>
        <v>18995433.65</v>
      </c>
      <c r="N15" s="200">
        <f>ROUND(SUM(B15:M15),2)</f>
        <v>249351931.8</v>
      </c>
      <c r="O15" s="76"/>
      <c r="P15" s="118">
        <f t="shared" ref="P15:Q15" si="7">SUM(P3:P14)</f>
        <v>249351931.8</v>
      </c>
      <c r="Q15" s="118">
        <f t="shared" si="7"/>
        <v>0.00000004528556019</v>
      </c>
      <c r="R15" s="76"/>
      <c r="S15" s="76"/>
      <c r="T15" s="76"/>
    </row>
    <row r="16" ht="15.75" customHeight="1">
      <c r="A16" s="201" t="s">
        <v>142</v>
      </c>
      <c r="B16" s="202">
        <v>1.974912728E7</v>
      </c>
      <c r="C16" s="202">
        <v>1.953369093E7</v>
      </c>
      <c r="D16" s="202">
        <v>1.947576615E7</v>
      </c>
      <c r="E16" s="202">
        <f>36948585.81+56063.59</f>
        <v>37004649.4</v>
      </c>
      <c r="F16" s="203">
        <v>1.876165923E7</v>
      </c>
      <c r="G16" s="204">
        <v>1.876363451E7</v>
      </c>
      <c r="H16" s="204">
        <v>1.871451233E7</v>
      </c>
      <c r="I16" s="204">
        <v>1.873737827E7</v>
      </c>
      <c r="J16" s="204">
        <v>1.873677715E7</v>
      </c>
      <c r="K16" s="204">
        <v>1.874924815E7</v>
      </c>
      <c r="L16" s="204">
        <v>1.874309224E7</v>
      </c>
      <c r="M16" s="204">
        <v>1.870446791E7</v>
      </c>
      <c r="N16" s="205">
        <f t="shared" ref="N16:N17" si="9">SUM(B16:M16)</f>
        <v>245674003.6</v>
      </c>
      <c r="O16" s="206"/>
      <c r="P16" s="43"/>
      <c r="Q16" s="43"/>
      <c r="R16" s="43"/>
      <c r="S16" s="43"/>
      <c r="T16" s="43"/>
    </row>
    <row r="17" ht="15.75" customHeight="1">
      <c r="A17" s="198" t="s">
        <v>143</v>
      </c>
      <c r="B17" s="199">
        <f t="shared" ref="B17:M17" si="8">B15-B16</f>
        <v>378043.59</v>
      </c>
      <c r="C17" s="199">
        <f t="shared" si="8"/>
        <v>329184.18</v>
      </c>
      <c r="D17" s="199">
        <f t="shared" si="8"/>
        <v>361365.15</v>
      </c>
      <c r="E17" s="199">
        <f t="shared" si="8"/>
        <v>484510.9</v>
      </c>
      <c r="F17" s="199">
        <f t="shared" si="8"/>
        <v>245467.88</v>
      </c>
      <c r="G17" s="199">
        <f t="shared" si="8"/>
        <v>245950.05</v>
      </c>
      <c r="H17" s="199">
        <f t="shared" si="8"/>
        <v>281902.37</v>
      </c>
      <c r="I17" s="199">
        <f t="shared" si="8"/>
        <v>224039.26</v>
      </c>
      <c r="J17" s="199">
        <f t="shared" si="8"/>
        <v>270026.22</v>
      </c>
      <c r="K17" s="199">
        <f t="shared" si="8"/>
        <v>281946.18</v>
      </c>
      <c r="L17" s="199">
        <f t="shared" si="8"/>
        <v>284526.68</v>
      </c>
      <c r="M17" s="199">
        <f t="shared" si="8"/>
        <v>290965.74</v>
      </c>
      <c r="N17" s="199">
        <f t="shared" si="9"/>
        <v>3677928.2</v>
      </c>
      <c r="O17" s="206"/>
      <c r="P17" s="206"/>
      <c r="Q17" s="76"/>
      <c r="R17" s="76"/>
      <c r="S17" s="76"/>
      <c r="T17" s="76"/>
    </row>
    <row r="18" ht="15.75" customHeight="1">
      <c r="A18" s="43"/>
      <c r="B18" s="43"/>
      <c r="C18" s="43"/>
      <c r="D18" s="43"/>
      <c r="E18" s="43"/>
      <c r="F18" s="116">
        <f>18761659.23-F16</f>
        <v>0</v>
      </c>
      <c r="G18" s="116">
        <f>18763634.51-G16</f>
        <v>0</v>
      </c>
      <c r="H18" s="116">
        <f t="shared" ref="H18:I18" si="10">H17-H7</f>
        <v>35873.26</v>
      </c>
      <c r="I18" s="116">
        <f t="shared" si="10"/>
        <v>-35873.26</v>
      </c>
      <c r="J18" s="116">
        <f t="shared" ref="J18:N18" si="11">ROUND(J17-J7,2)</f>
        <v>0</v>
      </c>
      <c r="K18" s="116">
        <f t="shared" si="11"/>
        <v>0</v>
      </c>
      <c r="L18" s="116">
        <f t="shared" si="11"/>
        <v>0</v>
      </c>
      <c r="M18" s="116">
        <f t="shared" si="11"/>
        <v>0</v>
      </c>
      <c r="N18" s="116">
        <f t="shared" si="11"/>
        <v>0</v>
      </c>
      <c r="O18" s="206">
        <f>IF(N18=0,N15,"ERRO")</f>
        <v>249351931.8</v>
      </c>
      <c r="P18" s="43"/>
      <c r="Q18" s="43"/>
      <c r="R18" s="43"/>
      <c r="S18" s="43"/>
      <c r="T18" s="43"/>
    </row>
    <row r="19" ht="15.75" customHeight="1">
      <c r="A19" s="207" t="s">
        <v>144</v>
      </c>
      <c r="B19" s="178">
        <f t="shared" ref="B19:M19" si="12">B2</f>
        <v>43709</v>
      </c>
      <c r="C19" s="178">
        <f t="shared" si="12"/>
        <v>43740</v>
      </c>
      <c r="D19" s="178">
        <f t="shared" si="12"/>
        <v>43771</v>
      </c>
      <c r="E19" s="178">
        <f t="shared" si="12"/>
        <v>43802</v>
      </c>
      <c r="F19" s="178">
        <f t="shared" si="12"/>
        <v>43833</v>
      </c>
      <c r="G19" s="178">
        <f t="shared" si="12"/>
        <v>43864</v>
      </c>
      <c r="H19" s="178">
        <f t="shared" si="12"/>
        <v>43895</v>
      </c>
      <c r="I19" s="178">
        <f t="shared" si="12"/>
        <v>43926</v>
      </c>
      <c r="J19" s="178">
        <f t="shared" si="12"/>
        <v>43957</v>
      </c>
      <c r="K19" s="178">
        <f t="shared" si="12"/>
        <v>43988</v>
      </c>
      <c r="L19" s="178">
        <f t="shared" si="12"/>
        <v>44019</v>
      </c>
      <c r="M19" s="178">
        <f t="shared" si="12"/>
        <v>44050</v>
      </c>
      <c r="N19" s="179" t="s">
        <v>125</v>
      </c>
      <c r="O19" s="43"/>
      <c r="P19" s="43"/>
      <c r="Q19" s="43"/>
      <c r="R19" s="43"/>
      <c r="S19" s="43"/>
      <c r="T19" s="43"/>
    </row>
    <row r="20" ht="15.75" customHeight="1">
      <c r="A20" s="188" t="s">
        <v>145</v>
      </c>
      <c r="B20" s="181">
        <v>5216741.97</v>
      </c>
      <c r="C20" s="181">
        <v>5192162.39</v>
      </c>
      <c r="D20" s="181">
        <v>5183604.23</v>
      </c>
      <c r="E20" s="181">
        <f>4978577.28+4883778.96</f>
        <v>9862356.24</v>
      </c>
      <c r="F20" s="181">
        <v>4983976.59</v>
      </c>
      <c r="G20" s="181">
        <v>4984721.39</v>
      </c>
      <c r="H20" s="181">
        <v>4981724.54</v>
      </c>
      <c r="I20" s="181">
        <v>4974206.51</v>
      </c>
      <c r="J20" s="181">
        <v>4983427.48</v>
      </c>
      <c r="K20" s="181">
        <v>4986341.15</v>
      </c>
      <c r="L20" s="181">
        <v>4984212.63</v>
      </c>
      <c r="M20" s="181">
        <v>5155968.44</v>
      </c>
      <c r="N20" s="182">
        <f t="shared" ref="N20:N21" si="13">SUM(B20:M20)</f>
        <v>65489443.56</v>
      </c>
      <c r="O20" s="183" t="s">
        <v>34</v>
      </c>
      <c r="P20" s="208">
        <f>EFISCO!G15+EFISCO!G34+EFISCO!G53+EFISCO!G72+EFISCO!G91+EFISCO!G110+EFISCO!G129+EFISCO!G148+EFISCO!G167</f>
        <v>65489443.56</v>
      </c>
      <c r="Q20" s="119">
        <f t="shared" ref="Q20:Q21" si="14">N20-P20</f>
        <v>0</v>
      </c>
      <c r="R20" s="43"/>
      <c r="S20" s="43"/>
      <c r="T20" s="43"/>
    </row>
    <row r="21" ht="15.75" customHeight="1">
      <c r="A21" s="209" t="s">
        <v>146</v>
      </c>
      <c r="B21" s="210">
        <v>158691.21</v>
      </c>
      <c r="C21" s="210">
        <f>161277.82-0.2</f>
        <v>161277.62</v>
      </c>
      <c r="D21" s="210">
        <v>160067.58</v>
      </c>
      <c r="E21" s="210">
        <f>164711.87+145483.76</f>
        <v>310195.63</v>
      </c>
      <c r="F21" s="210">
        <v>140044.1</v>
      </c>
      <c r="G21" s="210">
        <v>140074.01</v>
      </c>
      <c r="H21" s="210">
        <v>141895.66</v>
      </c>
      <c r="I21" s="210">
        <v>139568.76</v>
      </c>
      <c r="J21" s="210">
        <v>139568.76</v>
      </c>
      <c r="K21" s="210">
        <v>139568.76</v>
      </c>
      <c r="L21" s="210">
        <v>141389.65</v>
      </c>
      <c r="M21" s="210">
        <v>140918.13</v>
      </c>
      <c r="N21" s="211">
        <f t="shared" si="13"/>
        <v>1913259.87</v>
      </c>
      <c r="O21" s="195" t="s">
        <v>36</v>
      </c>
      <c r="P21" s="212">
        <f>EFISCO!G16+EFISCO!G35+EFISCO!G54+EFISCO!G73+EFISCO!G92+EFISCO!G111+EFISCO!G130+EFISCO!G149+EFISCO!G168</f>
        <v>1913259.87</v>
      </c>
      <c r="Q21" s="197">
        <f t="shared" si="14"/>
        <v>0</v>
      </c>
      <c r="R21" s="43"/>
      <c r="S21" s="43"/>
      <c r="T21" s="43"/>
    </row>
    <row r="22" ht="15.75" customHeight="1">
      <c r="A22" s="198" t="s">
        <v>147</v>
      </c>
      <c r="B22" s="199">
        <f t="shared" ref="B22:M22" si="15">ROUND(SUM(B20:B21),2)</f>
        <v>5375433.18</v>
      </c>
      <c r="C22" s="199">
        <f t="shared" si="15"/>
        <v>5353440.01</v>
      </c>
      <c r="D22" s="199">
        <f t="shared" si="15"/>
        <v>5343671.81</v>
      </c>
      <c r="E22" s="199">
        <f t="shared" si="15"/>
        <v>10172551.87</v>
      </c>
      <c r="F22" s="199">
        <f t="shared" si="15"/>
        <v>5124020.69</v>
      </c>
      <c r="G22" s="199">
        <f t="shared" si="15"/>
        <v>5124795.4</v>
      </c>
      <c r="H22" s="199">
        <f t="shared" si="15"/>
        <v>5123620.2</v>
      </c>
      <c r="I22" s="199">
        <f t="shared" si="15"/>
        <v>5113775.27</v>
      </c>
      <c r="J22" s="199">
        <f t="shared" si="15"/>
        <v>5122996.24</v>
      </c>
      <c r="K22" s="199">
        <f t="shared" si="15"/>
        <v>5125909.91</v>
      </c>
      <c r="L22" s="199">
        <f t="shared" si="15"/>
        <v>5125602.28</v>
      </c>
      <c r="M22" s="199">
        <f t="shared" si="15"/>
        <v>5296886.57</v>
      </c>
      <c r="N22" s="199">
        <f>ROUND(SUM(B22:M22),2)</f>
        <v>67402703.43</v>
      </c>
      <c r="O22" s="76"/>
      <c r="P22" s="206">
        <f t="shared" ref="P22:Q22" si="16">SUM(P20:P21)</f>
        <v>67402703.43</v>
      </c>
      <c r="Q22" s="118">
        <f t="shared" si="16"/>
        <v>0</v>
      </c>
      <c r="R22" s="76"/>
      <c r="S22" s="76"/>
      <c r="T22" s="76"/>
    </row>
    <row r="23" ht="15.75" customHeight="1">
      <c r="A23" s="213" t="s">
        <v>148</v>
      </c>
      <c r="B23" s="214">
        <f t="shared" ref="B23:C23" si="17">109113.7+30664.06</f>
        <v>139777.76</v>
      </c>
      <c r="C23" s="214">
        <f t="shared" si="17"/>
        <v>139777.76</v>
      </c>
      <c r="D23" s="214">
        <f>109711.01+32424.84</f>
        <v>142135.85</v>
      </c>
      <c r="E23" s="215">
        <f>100136.22+100136.22+32424.84+32424.84</f>
        <v>265122.12</v>
      </c>
      <c r="F23" s="214">
        <f t="shared" ref="F23:J23" si="18">100136.22+26964.75</f>
        <v>127100.97</v>
      </c>
      <c r="G23" s="214">
        <f t="shared" si="18"/>
        <v>127100.97</v>
      </c>
      <c r="H23" s="214">
        <f t="shared" si="18"/>
        <v>127100.97</v>
      </c>
      <c r="I23" s="214">
        <f t="shared" si="18"/>
        <v>127100.97</v>
      </c>
      <c r="J23" s="214">
        <f t="shared" si="18"/>
        <v>127100.97</v>
      </c>
      <c r="K23" s="214">
        <v>127100.97</v>
      </c>
      <c r="L23" s="214">
        <v>127100.97</v>
      </c>
      <c r="M23" s="214">
        <v>131808.48</v>
      </c>
      <c r="N23" s="216">
        <f>SUM(B23:M23)</f>
        <v>1708328.76</v>
      </c>
      <c r="O23" s="195" t="s">
        <v>38</v>
      </c>
      <c r="P23" s="212">
        <f>EFISCO!G17+EFISCO!G36+EFISCO!G55+EFISCO!G74+EFISCO!G93+EFISCO!G112+EFISCO!G131+EFISCO!G150+EFISCO!G169</f>
        <v>1708328.76</v>
      </c>
      <c r="Q23" s="197">
        <f>N23-P23</f>
        <v>0</v>
      </c>
      <c r="R23" s="43"/>
      <c r="S23" s="43"/>
      <c r="T23" s="43"/>
    </row>
    <row r="24" ht="15.75" customHeight="1">
      <c r="A24" s="217" t="s">
        <v>149</v>
      </c>
      <c r="B24" s="218">
        <f t="shared" ref="B24:M24" si="19">ROUND(B22-B23,2)</f>
        <v>5235655.42</v>
      </c>
      <c r="C24" s="218">
        <f t="shared" si="19"/>
        <v>5213662.25</v>
      </c>
      <c r="D24" s="218">
        <f t="shared" si="19"/>
        <v>5201535.96</v>
      </c>
      <c r="E24" s="218">
        <f t="shared" si="19"/>
        <v>9907429.75</v>
      </c>
      <c r="F24" s="218">
        <f t="shared" si="19"/>
        <v>4996919.72</v>
      </c>
      <c r="G24" s="218">
        <f t="shared" si="19"/>
        <v>4997694.43</v>
      </c>
      <c r="H24" s="218">
        <f t="shared" si="19"/>
        <v>4996519.23</v>
      </c>
      <c r="I24" s="218">
        <f t="shared" si="19"/>
        <v>4986674.3</v>
      </c>
      <c r="J24" s="218">
        <f t="shared" si="19"/>
        <v>4995895.27</v>
      </c>
      <c r="K24" s="218">
        <f t="shared" si="19"/>
        <v>4998808.94</v>
      </c>
      <c r="L24" s="218">
        <f t="shared" si="19"/>
        <v>4998501.31</v>
      </c>
      <c r="M24" s="218">
        <f t="shared" si="19"/>
        <v>5165078.09</v>
      </c>
      <c r="N24" s="219">
        <f>ROUND(SUM(B24:M24),2)</f>
        <v>65694374.67</v>
      </c>
      <c r="O24" s="220"/>
      <c r="P24" s="221">
        <f t="shared" ref="P24:Q24" si="20">P23</f>
        <v>1708328.76</v>
      </c>
      <c r="Q24" s="222">
        <f t="shared" si="20"/>
        <v>0</v>
      </c>
      <c r="R24" s="220"/>
      <c r="S24" s="220"/>
      <c r="T24" s="220"/>
    </row>
    <row r="25" ht="15.75" customHeight="1">
      <c r="A25" s="201" t="s">
        <v>142</v>
      </c>
      <c r="B25" s="223">
        <v>5235655.42</v>
      </c>
      <c r="C25" s="223">
        <v>5213717.96</v>
      </c>
      <c r="D25" s="223">
        <v>5199591.69</v>
      </c>
      <c r="E25" s="223">
        <f>10172496.15+2000-100136.22-100136.22-32424.84-32424.84-55.72</f>
        <v>9909318.31</v>
      </c>
      <c r="F25" s="223">
        <v>4996919.72</v>
      </c>
      <c r="G25" s="223">
        <v>4997694.43</v>
      </c>
      <c r="H25" s="223">
        <v>4996519.23</v>
      </c>
      <c r="I25" s="223">
        <v>4986674.3</v>
      </c>
      <c r="J25" s="223">
        <v>4995895.27</v>
      </c>
      <c r="K25" s="223">
        <v>4998808.94</v>
      </c>
      <c r="L25" s="223">
        <v>4998501.31</v>
      </c>
      <c r="M25" s="223">
        <v>5165078.09</v>
      </c>
      <c r="N25" s="224">
        <f>SUM(B25:M25)</f>
        <v>65694374.67</v>
      </c>
      <c r="O25" s="43"/>
      <c r="P25" s="43"/>
      <c r="Q25" s="43"/>
      <c r="R25" s="43"/>
      <c r="S25" s="43"/>
      <c r="T25" s="43"/>
    </row>
    <row r="26" ht="15.75" customHeight="1">
      <c r="A26" s="225" t="s">
        <v>143</v>
      </c>
      <c r="B26" s="199">
        <f t="shared" ref="B26:M26" si="21">B24-B25</f>
        <v>0</v>
      </c>
      <c r="C26" s="199">
        <f t="shared" si="21"/>
        <v>-55.71</v>
      </c>
      <c r="D26" s="199">
        <f t="shared" si="21"/>
        <v>1944.27</v>
      </c>
      <c r="E26" s="199">
        <f t="shared" si="21"/>
        <v>-1888.56</v>
      </c>
      <c r="F26" s="199">
        <f t="shared" si="21"/>
        <v>0</v>
      </c>
      <c r="G26" s="199">
        <f t="shared" si="21"/>
        <v>0</v>
      </c>
      <c r="H26" s="199">
        <f t="shared" si="21"/>
        <v>0</v>
      </c>
      <c r="I26" s="199">
        <f t="shared" si="21"/>
        <v>0</v>
      </c>
      <c r="J26" s="199">
        <f t="shared" si="21"/>
        <v>0</v>
      </c>
      <c r="K26" s="199">
        <f t="shared" si="21"/>
        <v>0</v>
      </c>
      <c r="L26" s="200">
        <f t="shared" si="21"/>
        <v>0</v>
      </c>
      <c r="M26" s="199">
        <f t="shared" si="21"/>
        <v>0</v>
      </c>
      <c r="N26" s="226">
        <f>N22-N25</f>
        <v>1708328.76</v>
      </c>
      <c r="O26" s="76"/>
      <c r="P26" s="76"/>
      <c r="Q26" s="76"/>
      <c r="R26" s="76"/>
      <c r="S26" s="76"/>
      <c r="T26" s="76"/>
    </row>
    <row r="27" ht="15.75" customHeight="1">
      <c r="A27" s="43"/>
      <c r="B27" s="43"/>
      <c r="C27" s="43"/>
      <c r="D27" s="43"/>
      <c r="E27" s="43"/>
      <c r="F27" s="119"/>
      <c r="G27" s="119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ht="15.75" customHeight="1">
      <c r="A28" s="227" t="s">
        <v>150</v>
      </c>
      <c r="B28" s="228">
        <f t="shared" ref="B28:M28" si="22">B2</f>
        <v>43709</v>
      </c>
      <c r="C28" s="228">
        <f t="shared" si="22"/>
        <v>43740</v>
      </c>
      <c r="D28" s="228">
        <f t="shared" si="22"/>
        <v>43771</v>
      </c>
      <c r="E28" s="228">
        <f t="shared" si="22"/>
        <v>43802</v>
      </c>
      <c r="F28" s="228">
        <f t="shared" si="22"/>
        <v>43833</v>
      </c>
      <c r="G28" s="228">
        <f t="shared" si="22"/>
        <v>43864</v>
      </c>
      <c r="H28" s="228">
        <f t="shared" si="22"/>
        <v>43895</v>
      </c>
      <c r="I28" s="228">
        <f t="shared" si="22"/>
        <v>43926</v>
      </c>
      <c r="J28" s="228">
        <f t="shared" si="22"/>
        <v>43957</v>
      </c>
      <c r="K28" s="228">
        <f t="shared" si="22"/>
        <v>43988</v>
      </c>
      <c r="L28" s="228">
        <f t="shared" si="22"/>
        <v>44019</v>
      </c>
      <c r="M28" s="228">
        <f t="shared" si="22"/>
        <v>44050</v>
      </c>
      <c r="N28" s="229" t="s">
        <v>125</v>
      </c>
      <c r="O28" s="76"/>
      <c r="P28" s="76"/>
      <c r="Q28" s="76"/>
      <c r="R28" s="76"/>
      <c r="S28" s="76"/>
      <c r="T28" s="76"/>
    </row>
    <row r="29" ht="24.75" customHeight="1">
      <c r="A29" s="230" t="s">
        <v>133</v>
      </c>
      <c r="B29" s="181">
        <v>0.0</v>
      </c>
      <c r="C29" s="181">
        <v>0.0</v>
      </c>
      <c r="D29" s="181">
        <v>0.0</v>
      </c>
      <c r="E29" s="181">
        <v>0.0</v>
      </c>
      <c r="F29" s="210">
        <v>0.0</v>
      </c>
      <c r="G29" s="210">
        <v>0.0</v>
      </c>
      <c r="H29" s="210">
        <v>0.0</v>
      </c>
      <c r="I29" s="210">
        <v>0.0</v>
      </c>
      <c r="J29" s="210">
        <v>0.0</v>
      </c>
      <c r="K29" s="210">
        <v>0.0</v>
      </c>
      <c r="L29" s="210">
        <v>0.0</v>
      </c>
      <c r="M29" s="210">
        <v>0.0</v>
      </c>
      <c r="N29" s="211">
        <f t="shared" ref="N29:N32" si="23">SUM(B29:M29)</f>
        <v>0</v>
      </c>
      <c r="O29" s="183" t="s">
        <v>12</v>
      </c>
      <c r="P29" s="184">
        <f>P7</f>
        <v>3677928.2</v>
      </c>
      <c r="Q29" s="119">
        <f>N29</f>
        <v>0</v>
      </c>
      <c r="R29" s="43"/>
      <c r="S29" s="231"/>
      <c r="T29" s="43"/>
    </row>
    <row r="30" ht="24.0" customHeight="1">
      <c r="A30" s="230" t="s">
        <v>151</v>
      </c>
      <c r="B30" s="210">
        <v>334798.55</v>
      </c>
      <c r="C30" s="210">
        <v>258263.61</v>
      </c>
      <c r="D30" s="210">
        <v>328706.95</v>
      </c>
      <c r="E30" s="210">
        <v>211447.99</v>
      </c>
      <c r="F30" s="210">
        <v>2877985.63</v>
      </c>
      <c r="G30" s="210">
        <v>292550.94</v>
      </c>
      <c r="H30" s="210">
        <v>313877.79</v>
      </c>
      <c r="I30" s="210">
        <v>105282.17</v>
      </c>
      <c r="J30" s="210">
        <v>0.0</v>
      </c>
      <c r="K30" s="210">
        <v>0.0</v>
      </c>
      <c r="L30" s="210">
        <v>22216.19</v>
      </c>
      <c r="M30" s="210">
        <v>107038.82</v>
      </c>
      <c r="N30" s="211">
        <f t="shared" si="23"/>
        <v>4852168.64</v>
      </c>
      <c r="O30" s="183" t="s">
        <v>22</v>
      </c>
      <c r="P30" s="184">
        <f>EFISCO!G9+EFISCO!G28+EFISCO!G47+EFISCO!G66+EFISCO!G85-EFISCO!G104+EFISCO!G123+EFISCO!G142+EFISCO!G161</f>
        <v>4528171.01</v>
      </c>
      <c r="Q30" s="119">
        <f t="shared" ref="Q30:Q32" si="24">N30-P30</f>
        <v>323997.63</v>
      </c>
      <c r="R30" s="43"/>
      <c r="S30" s="232"/>
      <c r="T30" s="43"/>
    </row>
    <row r="31" ht="23.25" customHeight="1">
      <c r="A31" s="230" t="s">
        <v>152</v>
      </c>
      <c r="B31" s="233">
        <v>-11383.91</v>
      </c>
      <c r="C31" s="233">
        <v>-9759.87</v>
      </c>
      <c r="D31" s="233">
        <v>0.0</v>
      </c>
      <c r="E31" s="233">
        <v>-35494.71</v>
      </c>
      <c r="F31" s="233">
        <v>-15993.21</v>
      </c>
      <c r="G31" s="233">
        <v>-55227.48</v>
      </c>
      <c r="H31" s="233">
        <v>-20407.88</v>
      </c>
      <c r="I31" s="233">
        <v>-56408.21</v>
      </c>
      <c r="J31" s="233">
        <v>-20130.88</v>
      </c>
      <c r="K31" s="233">
        <v>0.0</v>
      </c>
      <c r="L31" s="233">
        <v>0.0</v>
      </c>
      <c r="M31" s="233">
        <v>0.0</v>
      </c>
      <c r="N31" s="211">
        <f t="shared" si="23"/>
        <v>-224806.15</v>
      </c>
      <c r="O31" s="183" t="s">
        <v>22</v>
      </c>
      <c r="P31" s="186"/>
      <c r="Q31" s="119">
        <f t="shared" si="24"/>
        <v>-224806.15</v>
      </c>
      <c r="R31" s="43"/>
      <c r="S31" s="232"/>
      <c r="T31" s="43"/>
    </row>
    <row r="32" ht="22.5" customHeight="1">
      <c r="A32" s="234" t="s">
        <v>153</v>
      </c>
      <c r="B32" s="233">
        <v>0.0</v>
      </c>
      <c r="C32" s="233">
        <v>0.0</v>
      </c>
      <c r="D32" s="233">
        <v>0.0</v>
      </c>
      <c r="E32" s="233">
        <v>-23641.48</v>
      </c>
      <c r="F32" s="233">
        <f>-(65464.81+10085.19)</f>
        <v>-75550</v>
      </c>
      <c r="G32" s="233">
        <v>0.0</v>
      </c>
      <c r="H32" s="233">
        <v>0.0</v>
      </c>
      <c r="I32" s="233">
        <v>0.0</v>
      </c>
      <c r="J32" s="233">
        <v>0.0</v>
      </c>
      <c r="K32" s="233">
        <v>0.0</v>
      </c>
      <c r="L32" s="233">
        <v>0.0</v>
      </c>
      <c r="M32" s="233">
        <v>0.0</v>
      </c>
      <c r="N32" s="211">
        <f t="shared" si="23"/>
        <v>-99191.48</v>
      </c>
      <c r="O32" s="195" t="s">
        <v>22</v>
      </c>
      <c r="P32" s="235"/>
      <c r="Q32" s="197">
        <f t="shared" si="24"/>
        <v>-99191.48</v>
      </c>
      <c r="R32" s="119">
        <f>Q31+Q32</f>
        <v>-323997.63</v>
      </c>
      <c r="S32" s="231">
        <f>Q30+R32</f>
        <v>-0.0000000001164153218</v>
      </c>
      <c r="T32" s="43"/>
    </row>
    <row r="33" ht="15.75" customHeight="1">
      <c r="A33" s="179" t="s">
        <v>154</v>
      </c>
      <c r="B33" s="236">
        <f t="shared" ref="B33:M33" si="25">SUM(B29:B32)</f>
        <v>323414.64</v>
      </c>
      <c r="C33" s="236">
        <f t="shared" si="25"/>
        <v>248503.74</v>
      </c>
      <c r="D33" s="236">
        <f t="shared" si="25"/>
        <v>328706.95</v>
      </c>
      <c r="E33" s="236">
        <f t="shared" si="25"/>
        <v>152311.8</v>
      </c>
      <c r="F33" s="236">
        <f t="shared" si="25"/>
        <v>2786442.42</v>
      </c>
      <c r="G33" s="236">
        <f t="shared" si="25"/>
        <v>237323.46</v>
      </c>
      <c r="H33" s="236">
        <f t="shared" si="25"/>
        <v>293469.91</v>
      </c>
      <c r="I33" s="236">
        <f t="shared" si="25"/>
        <v>48873.96</v>
      </c>
      <c r="J33" s="236">
        <f t="shared" si="25"/>
        <v>-20130.88</v>
      </c>
      <c r="K33" s="236">
        <f t="shared" si="25"/>
        <v>0</v>
      </c>
      <c r="L33" s="236">
        <f t="shared" si="25"/>
        <v>22216.19</v>
      </c>
      <c r="M33" s="236">
        <f t="shared" si="25"/>
        <v>107038.82</v>
      </c>
      <c r="N33" s="237">
        <f>ROUND(SUM(B33:M33),2)</f>
        <v>4528171.01</v>
      </c>
      <c r="P33" s="118">
        <f t="shared" ref="P33:Q33" si="26">SUM(P29:P32)</f>
        <v>8206099.21</v>
      </c>
      <c r="Q33" s="238">
        <f t="shared" si="26"/>
        <v>-0.0000000001018634066</v>
      </c>
      <c r="R33" s="76"/>
      <c r="S33" s="76"/>
      <c r="T33" s="76"/>
    </row>
    <row r="34" ht="15.75" customHeight="1">
      <c r="A34" s="43" t="s">
        <v>155</v>
      </c>
      <c r="B34" s="210">
        <v>378043.59</v>
      </c>
      <c r="C34" s="210">
        <v>329184.18</v>
      </c>
      <c r="D34" s="210">
        <v>360365.15</v>
      </c>
      <c r="E34" s="210">
        <v>485510.9</v>
      </c>
      <c r="F34" s="210">
        <v>245467.88</v>
      </c>
      <c r="G34" s="210">
        <v>245950.05</v>
      </c>
      <c r="H34" s="210">
        <v>246029.11</v>
      </c>
      <c r="I34" s="210">
        <v>259912.52</v>
      </c>
      <c r="J34" s="210">
        <v>270026.22</v>
      </c>
      <c r="K34" s="210">
        <v>281946.18</v>
      </c>
      <c r="L34" s="210">
        <v>284526.68</v>
      </c>
      <c r="M34" s="210">
        <f>EFISCO!G157</f>
        <v>290965.74</v>
      </c>
      <c r="N34" s="216">
        <f t="shared" ref="N34:N37" si="29">SUM(B34:M34)</f>
        <v>3677928.2</v>
      </c>
      <c r="O34" s="183"/>
      <c r="P34" s="43"/>
      <c r="Q34" s="43"/>
      <c r="R34" s="43"/>
      <c r="S34" s="43"/>
      <c r="T34" s="43"/>
    </row>
    <row r="35" ht="15.75" customHeight="1">
      <c r="A35" s="225" t="s">
        <v>143</v>
      </c>
      <c r="B35" s="239">
        <f t="shared" ref="B35:I35" si="27">B29-B34</f>
        <v>-378043.59</v>
      </c>
      <c r="C35" s="239">
        <f t="shared" si="27"/>
        <v>-329184.18</v>
      </c>
      <c r="D35" s="239">
        <f t="shared" si="27"/>
        <v>-360365.15</v>
      </c>
      <c r="E35" s="239">
        <f t="shared" si="27"/>
        <v>-485510.9</v>
      </c>
      <c r="F35" s="239">
        <f t="shared" si="27"/>
        <v>-245467.88</v>
      </c>
      <c r="G35" s="239">
        <f t="shared" si="27"/>
        <v>-245950.05</v>
      </c>
      <c r="H35" s="239">
        <f t="shared" si="27"/>
        <v>-246029.11</v>
      </c>
      <c r="I35" s="239">
        <f t="shared" si="27"/>
        <v>-259912.52</v>
      </c>
      <c r="J35" s="239">
        <f t="shared" ref="J35:M35" si="28">J29-J34+J7</f>
        <v>0</v>
      </c>
      <c r="K35" s="239">
        <f t="shared" si="28"/>
        <v>0</v>
      </c>
      <c r="L35" s="239">
        <f t="shared" si="28"/>
        <v>0</v>
      </c>
      <c r="M35" s="239">
        <f t="shared" si="28"/>
        <v>0</v>
      </c>
      <c r="N35" s="199">
        <f t="shared" si="29"/>
        <v>-2550463.38</v>
      </c>
      <c r="O35" s="43"/>
      <c r="P35" s="119">
        <f>N30+N31+N32+'Temporário - Licença Prêmio Pec'!B15</f>
        <v>6806882.97</v>
      </c>
      <c r="Q35" s="43"/>
      <c r="R35" s="43"/>
      <c r="S35" s="43"/>
      <c r="T35" s="43"/>
    </row>
    <row r="36" ht="15.75" customHeight="1">
      <c r="A36" s="120" t="s">
        <v>156</v>
      </c>
      <c r="B36" s="210">
        <v>323414.64</v>
      </c>
      <c r="C36" s="210">
        <v>248503.74</v>
      </c>
      <c r="D36" s="210">
        <v>328706.95</v>
      </c>
      <c r="E36" s="210">
        <v>152311.8</v>
      </c>
      <c r="F36" s="210">
        <v>2786442.42</v>
      </c>
      <c r="G36" s="210">
        <v>237323.46</v>
      </c>
      <c r="H36" s="210">
        <v>293469.91</v>
      </c>
      <c r="I36" s="210">
        <v>48873.96</v>
      </c>
      <c r="J36" s="210">
        <v>-20130.88</v>
      </c>
      <c r="K36" s="210">
        <v>0.0</v>
      </c>
      <c r="L36" s="210">
        <v>22216.19</v>
      </c>
      <c r="M36" s="210">
        <f>EFISCO!G161</f>
        <v>107038.82</v>
      </c>
      <c r="N36" s="216">
        <f t="shared" si="29"/>
        <v>4528171.01</v>
      </c>
      <c r="O36" s="183"/>
      <c r="P36" s="240"/>
      <c r="Q36" s="43"/>
      <c r="R36" s="43"/>
      <c r="S36" s="43"/>
      <c r="T36" s="43"/>
    </row>
    <row r="37" ht="15.75" customHeight="1">
      <c r="A37" s="225" t="s">
        <v>143</v>
      </c>
      <c r="B37" s="199">
        <f t="shared" ref="B37:M37" si="30">B30+B31+B32-B36</f>
        <v>0</v>
      </c>
      <c r="C37" s="199">
        <f t="shared" si="30"/>
        <v>0</v>
      </c>
      <c r="D37" s="199">
        <f t="shared" si="30"/>
        <v>0</v>
      </c>
      <c r="E37" s="199">
        <f t="shared" si="30"/>
        <v>0</v>
      </c>
      <c r="F37" s="199">
        <f t="shared" si="30"/>
        <v>0</v>
      </c>
      <c r="G37" s="199">
        <f t="shared" si="30"/>
        <v>0</v>
      </c>
      <c r="H37" s="199">
        <f t="shared" si="30"/>
        <v>0</v>
      </c>
      <c r="I37" s="199">
        <f t="shared" si="30"/>
        <v>0</v>
      </c>
      <c r="J37" s="199">
        <f t="shared" si="30"/>
        <v>0</v>
      </c>
      <c r="K37" s="199">
        <f t="shared" si="30"/>
        <v>0</v>
      </c>
      <c r="L37" s="199">
        <f t="shared" si="30"/>
        <v>0</v>
      </c>
      <c r="M37" s="199">
        <f t="shared" si="30"/>
        <v>0</v>
      </c>
      <c r="N37" s="199">
        <f t="shared" si="29"/>
        <v>0</v>
      </c>
      <c r="O37" s="43"/>
      <c r="P37" s="43"/>
      <c r="Q37" s="43"/>
      <c r="R37" s="43"/>
      <c r="S37" s="43"/>
      <c r="T37" s="43"/>
    </row>
    <row r="38" ht="15.7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ht="15.75" customHeight="1">
      <c r="A39" s="241" t="s">
        <v>157</v>
      </c>
      <c r="B39" s="178">
        <f t="shared" ref="B39:E39" si="31">B28</f>
        <v>43709</v>
      </c>
      <c r="C39" s="178">
        <f t="shared" si="31"/>
        <v>43740</v>
      </c>
      <c r="D39" s="178">
        <f t="shared" si="31"/>
        <v>43771</v>
      </c>
      <c r="E39" s="178">
        <f t="shared" si="31"/>
        <v>43802</v>
      </c>
      <c r="F39" s="178">
        <f t="shared" ref="F39:M39" si="32">F2</f>
        <v>43833</v>
      </c>
      <c r="G39" s="178">
        <f t="shared" si="32"/>
        <v>43864</v>
      </c>
      <c r="H39" s="178">
        <f t="shared" si="32"/>
        <v>43895</v>
      </c>
      <c r="I39" s="178">
        <f t="shared" si="32"/>
        <v>43926</v>
      </c>
      <c r="J39" s="178">
        <f t="shared" si="32"/>
        <v>43957</v>
      </c>
      <c r="K39" s="178">
        <f t="shared" si="32"/>
        <v>43988</v>
      </c>
      <c r="L39" s="178">
        <f t="shared" si="32"/>
        <v>44019</v>
      </c>
      <c r="M39" s="178">
        <f t="shared" si="32"/>
        <v>44050</v>
      </c>
      <c r="N39" s="179" t="s">
        <v>125</v>
      </c>
      <c r="O39" s="43"/>
      <c r="P39" s="43"/>
      <c r="Q39" s="43"/>
      <c r="R39" s="43"/>
      <c r="S39" s="43"/>
      <c r="T39" s="43"/>
    </row>
    <row r="40" ht="15.75" customHeight="1">
      <c r="A40" s="230" t="s">
        <v>158</v>
      </c>
      <c r="B40" s="214">
        <v>6241838.2</v>
      </c>
      <c r="C40" s="214">
        <v>6303226.88</v>
      </c>
      <c r="D40" s="214">
        <v>6302182.38</v>
      </c>
      <c r="E40" s="214">
        <v>1.337152295E7</v>
      </c>
      <c r="F40" s="214">
        <v>7088566.52</v>
      </c>
      <c r="G40" s="214">
        <v>7088566.52</v>
      </c>
      <c r="H40" s="214">
        <v>7109783.77</v>
      </c>
      <c r="I40" s="214">
        <v>7111253.27</v>
      </c>
      <c r="J40" s="214">
        <v>7111253.27</v>
      </c>
      <c r="K40" s="214">
        <v>7111253.27</v>
      </c>
      <c r="L40" s="214">
        <v>7111253.27</v>
      </c>
      <c r="M40" s="214">
        <v>7140532.88</v>
      </c>
      <c r="N40" s="216">
        <f t="shared" ref="N40:N44" si="33">SUM(B40:M40)</f>
        <v>89091233.18</v>
      </c>
      <c r="O40" s="183" t="s">
        <v>41</v>
      </c>
      <c r="P40" s="184">
        <f>EFISCO!G18+EFISCO!G37+EFISCO!G56+EFISCO!G75+EFISCO!G94+EFISCO!G113+EFISCO!G132+EFISCO!G151+EFISCO!G170</f>
        <v>79505473.85</v>
      </c>
      <c r="Q40" s="119">
        <f t="shared" ref="Q40:Q41" si="34">N40-P40</f>
        <v>9585759.33</v>
      </c>
      <c r="R40" s="43"/>
      <c r="S40" s="43"/>
      <c r="T40" s="43"/>
    </row>
    <row r="41" ht="15.75" customHeight="1">
      <c r="A41" s="230" t="s">
        <v>159</v>
      </c>
      <c r="B41" s="242">
        <v>-776735.78</v>
      </c>
      <c r="C41" s="242">
        <v>-777873.07</v>
      </c>
      <c r="D41" s="242">
        <v>-780659.67</v>
      </c>
      <c r="E41" s="242">
        <v>-805610.09</v>
      </c>
      <c r="F41" s="242">
        <v>-805610.09</v>
      </c>
      <c r="G41" s="242">
        <v>-805610.09</v>
      </c>
      <c r="H41" s="242">
        <v>-805610.09</v>
      </c>
      <c r="I41" s="242">
        <v>-805610.09</v>
      </c>
      <c r="J41" s="242">
        <v>-805610.09</v>
      </c>
      <c r="K41" s="242">
        <v>-805610.09</v>
      </c>
      <c r="L41" s="242">
        <v>-805610.09</v>
      </c>
      <c r="M41" s="242">
        <v>-805610.09</v>
      </c>
      <c r="N41" s="216">
        <f t="shared" si="33"/>
        <v>-9585759.33</v>
      </c>
      <c r="O41" s="195" t="s">
        <v>41</v>
      </c>
      <c r="P41" s="235"/>
      <c r="Q41" s="197">
        <f t="shared" si="34"/>
        <v>-9585759.33</v>
      </c>
      <c r="R41" s="43"/>
      <c r="S41" s="43"/>
      <c r="T41" s="43"/>
    </row>
    <row r="42" ht="15.75" customHeight="1">
      <c r="A42" s="198" t="s">
        <v>141</v>
      </c>
      <c r="B42" s="199">
        <f t="shared" ref="B42:M42" si="35">SUM(B40:B41)</f>
        <v>5465102.42</v>
      </c>
      <c r="C42" s="199">
        <f t="shared" si="35"/>
        <v>5525353.81</v>
      </c>
      <c r="D42" s="199">
        <f t="shared" si="35"/>
        <v>5521522.71</v>
      </c>
      <c r="E42" s="199">
        <f t="shared" si="35"/>
        <v>12565912.86</v>
      </c>
      <c r="F42" s="199">
        <f t="shared" si="35"/>
        <v>6282956.43</v>
      </c>
      <c r="G42" s="199">
        <f t="shared" si="35"/>
        <v>6282956.43</v>
      </c>
      <c r="H42" s="199">
        <f t="shared" si="35"/>
        <v>6304173.68</v>
      </c>
      <c r="I42" s="199">
        <f t="shared" si="35"/>
        <v>6305643.18</v>
      </c>
      <c r="J42" s="199">
        <f t="shared" si="35"/>
        <v>6305643.18</v>
      </c>
      <c r="K42" s="199">
        <f t="shared" si="35"/>
        <v>6305643.18</v>
      </c>
      <c r="L42" s="199">
        <f t="shared" si="35"/>
        <v>6305643.18</v>
      </c>
      <c r="M42" s="199">
        <f t="shared" si="35"/>
        <v>6334922.79</v>
      </c>
      <c r="N42" s="199">
        <f t="shared" si="33"/>
        <v>79505473.85</v>
      </c>
      <c r="O42" s="43"/>
      <c r="P42" s="118">
        <f t="shared" ref="P42:Q42" si="36">SUM(P40:P41)</f>
        <v>79505473.85</v>
      </c>
      <c r="Q42" s="238">
        <f t="shared" si="36"/>
        <v>-0.00000003166496754</v>
      </c>
      <c r="R42" s="43"/>
      <c r="S42" s="43"/>
      <c r="T42" s="43"/>
    </row>
    <row r="43" ht="15.75" customHeight="1">
      <c r="A43" s="201" t="s">
        <v>142</v>
      </c>
      <c r="B43" s="210">
        <v>5465102.42</v>
      </c>
      <c r="C43" s="210">
        <v>5525353.81</v>
      </c>
      <c r="D43" s="210">
        <v>5521522.71</v>
      </c>
      <c r="E43" s="210">
        <v>1.256591286E7</v>
      </c>
      <c r="F43" s="210">
        <v>6282956.43</v>
      </c>
      <c r="G43" s="210">
        <v>6282956.43</v>
      </c>
      <c r="H43" s="210">
        <v>6304173.68</v>
      </c>
      <c r="I43" s="210">
        <v>6305643.18</v>
      </c>
      <c r="J43" s="243">
        <v>6305643.18</v>
      </c>
      <c r="K43" s="244">
        <v>6305643.18</v>
      </c>
      <c r="L43" s="245">
        <v>6305643.18</v>
      </c>
      <c r="M43" s="245">
        <v>6334922.79</v>
      </c>
      <c r="N43" s="239">
        <f t="shared" si="33"/>
        <v>79505473.85</v>
      </c>
      <c r="O43" s="43"/>
      <c r="P43" s="43"/>
      <c r="Q43" s="43"/>
      <c r="R43" s="43"/>
      <c r="S43" s="43"/>
      <c r="T43" s="43"/>
    </row>
    <row r="44" ht="15.75" customHeight="1">
      <c r="A44" s="198" t="s">
        <v>143</v>
      </c>
      <c r="B44" s="199">
        <f t="shared" ref="B44:M44" si="37">B42-B43</f>
        <v>0</v>
      </c>
      <c r="C44" s="199">
        <f t="shared" si="37"/>
        <v>0</v>
      </c>
      <c r="D44" s="199">
        <f t="shared" si="37"/>
        <v>0</v>
      </c>
      <c r="E44" s="199">
        <f t="shared" si="37"/>
        <v>0</v>
      </c>
      <c r="F44" s="199">
        <f t="shared" si="37"/>
        <v>0</v>
      </c>
      <c r="G44" s="199">
        <f t="shared" si="37"/>
        <v>0</v>
      </c>
      <c r="H44" s="199">
        <f t="shared" si="37"/>
        <v>0</v>
      </c>
      <c r="I44" s="199">
        <f t="shared" si="37"/>
        <v>0</v>
      </c>
      <c r="J44" s="199">
        <f t="shared" si="37"/>
        <v>0</v>
      </c>
      <c r="K44" s="199">
        <f t="shared" si="37"/>
        <v>0</v>
      </c>
      <c r="L44" s="199">
        <f t="shared" si="37"/>
        <v>0</v>
      </c>
      <c r="M44" s="199">
        <f t="shared" si="37"/>
        <v>0</v>
      </c>
      <c r="N44" s="199">
        <f t="shared" si="33"/>
        <v>0</v>
      </c>
      <c r="O44" s="43"/>
      <c r="P44" s="43"/>
      <c r="Q44" s="43"/>
      <c r="R44" s="43"/>
      <c r="S44" s="43"/>
      <c r="T44" s="43"/>
    </row>
    <row r="45" ht="15.7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ht="15.75" customHeight="1">
      <c r="A46" s="241" t="s">
        <v>160</v>
      </c>
      <c r="B46" s="178">
        <f t="shared" ref="B46:M46" si="38">B39</f>
        <v>43709</v>
      </c>
      <c r="C46" s="178">
        <f t="shared" si="38"/>
        <v>43740</v>
      </c>
      <c r="D46" s="178">
        <f t="shared" si="38"/>
        <v>43771</v>
      </c>
      <c r="E46" s="178">
        <f t="shared" si="38"/>
        <v>43802</v>
      </c>
      <c r="F46" s="178">
        <f t="shared" si="38"/>
        <v>43833</v>
      </c>
      <c r="G46" s="178">
        <f t="shared" si="38"/>
        <v>43864</v>
      </c>
      <c r="H46" s="178">
        <f t="shared" si="38"/>
        <v>43895</v>
      </c>
      <c r="I46" s="178">
        <f t="shared" si="38"/>
        <v>43926</v>
      </c>
      <c r="J46" s="178">
        <f t="shared" si="38"/>
        <v>43957</v>
      </c>
      <c r="K46" s="178">
        <f t="shared" si="38"/>
        <v>43988</v>
      </c>
      <c r="L46" s="178">
        <f t="shared" si="38"/>
        <v>44019</v>
      </c>
      <c r="M46" s="178">
        <f t="shared" si="38"/>
        <v>44050</v>
      </c>
      <c r="N46" s="179" t="s">
        <v>125</v>
      </c>
      <c r="O46" s="43"/>
      <c r="P46" s="43"/>
      <c r="Q46" s="43"/>
      <c r="R46" s="43"/>
      <c r="S46" s="43"/>
      <c r="T46" s="43"/>
    </row>
    <row r="47" ht="15.75" customHeight="1">
      <c r="A47" s="234" t="s">
        <v>161</v>
      </c>
      <c r="B47" s="214">
        <v>1097573.31</v>
      </c>
      <c r="C47" s="214">
        <v>1123830.72</v>
      </c>
      <c r="D47" s="214">
        <v>1120727.74</v>
      </c>
      <c r="E47" s="214">
        <v>2201848.48</v>
      </c>
      <c r="F47" s="214">
        <v>1148467.09</v>
      </c>
      <c r="G47" s="214">
        <v>1148467.08</v>
      </c>
      <c r="H47" s="214">
        <v>1144056.91</v>
      </c>
      <c r="I47" s="214">
        <v>1144056.91</v>
      </c>
      <c r="J47" s="214">
        <v>1195389.16</v>
      </c>
      <c r="K47" s="214">
        <v>1133038.62</v>
      </c>
      <c r="L47" s="214">
        <v>1125060.06</v>
      </c>
      <c r="M47" s="214">
        <v>1125060.06</v>
      </c>
      <c r="N47" s="216">
        <f t="shared" ref="N47:N50" si="40">SUM(B47:M47)</f>
        <v>14707576.14</v>
      </c>
      <c r="O47" s="195" t="s">
        <v>43</v>
      </c>
      <c r="P47" s="212">
        <f>EFISCO!F19+EFISCO!G38+EFISCO!G57+EFISCO!G76+EFISCO!G95+EFISCO!G114+EFISCO!G133+EFISCO!G152+EFISCO!G171</f>
        <v>14707576.14</v>
      </c>
      <c r="Q47" s="197">
        <f>N47-P47</f>
        <v>0</v>
      </c>
      <c r="R47" s="43"/>
      <c r="S47" s="43"/>
      <c r="T47" s="43"/>
    </row>
    <row r="48" ht="15.75" customHeight="1">
      <c r="A48" s="198" t="s">
        <v>162</v>
      </c>
      <c r="B48" s="199">
        <f t="shared" ref="B48:M48" si="39">SUM(B47)</f>
        <v>1097573.31</v>
      </c>
      <c r="C48" s="199">
        <f t="shared" si="39"/>
        <v>1123830.72</v>
      </c>
      <c r="D48" s="199">
        <f t="shared" si="39"/>
        <v>1120727.74</v>
      </c>
      <c r="E48" s="199">
        <f t="shared" si="39"/>
        <v>2201848.48</v>
      </c>
      <c r="F48" s="199">
        <f t="shared" si="39"/>
        <v>1148467.09</v>
      </c>
      <c r="G48" s="199">
        <f t="shared" si="39"/>
        <v>1148467.08</v>
      </c>
      <c r="H48" s="199">
        <f t="shared" si="39"/>
        <v>1144056.91</v>
      </c>
      <c r="I48" s="199">
        <f t="shared" si="39"/>
        <v>1144056.91</v>
      </c>
      <c r="J48" s="199">
        <f t="shared" si="39"/>
        <v>1195389.16</v>
      </c>
      <c r="K48" s="199">
        <f t="shared" si="39"/>
        <v>1133038.62</v>
      </c>
      <c r="L48" s="199">
        <f t="shared" si="39"/>
        <v>1125060.06</v>
      </c>
      <c r="M48" s="199">
        <f t="shared" si="39"/>
        <v>1125060.06</v>
      </c>
      <c r="N48" s="199">
        <f t="shared" si="40"/>
        <v>14707576.14</v>
      </c>
      <c r="O48" s="43"/>
      <c r="P48" s="206">
        <f t="shared" ref="P48:Q48" si="41">P47</f>
        <v>14707576.14</v>
      </c>
      <c r="Q48" s="118">
        <f t="shared" si="41"/>
        <v>0</v>
      </c>
      <c r="R48" s="43"/>
      <c r="S48" s="43"/>
      <c r="T48" s="43"/>
    </row>
    <row r="49" ht="15.75" customHeight="1">
      <c r="A49" s="201" t="s">
        <v>142</v>
      </c>
      <c r="B49" s="214">
        <v>1097573.31</v>
      </c>
      <c r="C49" s="214">
        <v>1123830.72</v>
      </c>
      <c r="D49" s="214">
        <v>1120727.74</v>
      </c>
      <c r="E49" s="214">
        <v>2201848.48</v>
      </c>
      <c r="F49" s="214">
        <v>1148467.09</v>
      </c>
      <c r="G49" s="214">
        <v>1148467.08</v>
      </c>
      <c r="H49" s="214">
        <v>1144056.91</v>
      </c>
      <c r="I49" s="214">
        <v>1144056.91</v>
      </c>
      <c r="J49" s="214">
        <v>1195389.16</v>
      </c>
      <c r="K49" s="214">
        <v>1133038.62</v>
      </c>
      <c r="L49" s="214">
        <v>1125060.06</v>
      </c>
      <c r="M49" s="214">
        <v>1125060.06</v>
      </c>
      <c r="N49" s="239">
        <f t="shared" si="40"/>
        <v>14707576.14</v>
      </c>
      <c r="O49" s="43"/>
      <c r="P49" s="43"/>
      <c r="Q49" s="43"/>
      <c r="R49" s="43"/>
      <c r="S49" s="43"/>
      <c r="T49" s="43"/>
    </row>
    <row r="50" ht="15.75" customHeight="1">
      <c r="A50" s="198" t="s">
        <v>143</v>
      </c>
      <c r="B50" s="199">
        <f t="shared" ref="B50:M50" si="42">B48-B49</f>
        <v>0</v>
      </c>
      <c r="C50" s="199">
        <f t="shared" si="42"/>
        <v>0</v>
      </c>
      <c r="D50" s="199">
        <f t="shared" si="42"/>
        <v>0</v>
      </c>
      <c r="E50" s="199">
        <f t="shared" si="42"/>
        <v>0</v>
      </c>
      <c r="F50" s="199">
        <f t="shared" si="42"/>
        <v>0</v>
      </c>
      <c r="G50" s="199">
        <f t="shared" si="42"/>
        <v>0</v>
      </c>
      <c r="H50" s="199">
        <f t="shared" si="42"/>
        <v>0</v>
      </c>
      <c r="I50" s="199">
        <f t="shared" si="42"/>
        <v>0</v>
      </c>
      <c r="J50" s="199">
        <f t="shared" si="42"/>
        <v>0</v>
      </c>
      <c r="K50" s="199">
        <f t="shared" si="42"/>
        <v>0</v>
      </c>
      <c r="L50" s="199">
        <f t="shared" si="42"/>
        <v>0</v>
      </c>
      <c r="M50" s="199">
        <f t="shared" si="42"/>
        <v>0</v>
      </c>
      <c r="N50" s="199">
        <f t="shared" si="40"/>
        <v>0</v>
      </c>
      <c r="O50" s="43"/>
      <c r="P50" s="43"/>
      <c r="Q50" s="43"/>
      <c r="R50" s="43"/>
      <c r="S50" s="43"/>
      <c r="T50" s="43"/>
    </row>
    <row r="51" ht="15.75" customHeight="1">
      <c r="A51" s="246"/>
      <c r="B51" s="247" t="str">
        <f t="shared" ref="B51:N51" si="43">IF(ROUND(B17+B26+B35+B37+B44+B50,2)=0,"ok","CONCILIAR")</f>
        <v>ok</v>
      </c>
      <c r="C51" s="247" t="str">
        <f t="shared" si="43"/>
        <v>CONCILIAR</v>
      </c>
      <c r="D51" s="247" t="str">
        <f t="shared" si="43"/>
        <v>CONCILIAR</v>
      </c>
      <c r="E51" s="247" t="str">
        <f t="shared" si="43"/>
        <v>CONCILIAR</v>
      </c>
      <c r="F51" s="247" t="str">
        <f t="shared" si="43"/>
        <v>ok</v>
      </c>
      <c r="G51" s="247" t="str">
        <f t="shared" si="43"/>
        <v>ok</v>
      </c>
      <c r="H51" s="247" t="str">
        <f t="shared" si="43"/>
        <v>CONCILIAR</v>
      </c>
      <c r="I51" s="247" t="str">
        <f t="shared" si="43"/>
        <v>CONCILIAR</v>
      </c>
      <c r="J51" s="247" t="str">
        <f t="shared" si="43"/>
        <v>CONCILIAR</v>
      </c>
      <c r="K51" s="247" t="str">
        <f t="shared" si="43"/>
        <v>CONCILIAR</v>
      </c>
      <c r="L51" s="247" t="str">
        <f t="shared" si="43"/>
        <v>CONCILIAR</v>
      </c>
      <c r="M51" s="247" t="str">
        <f t="shared" si="43"/>
        <v>CONCILIAR</v>
      </c>
      <c r="N51" s="247" t="str">
        <f t="shared" si="43"/>
        <v>CONCILIAR</v>
      </c>
      <c r="O51" s="246"/>
      <c r="P51" s="246"/>
      <c r="Q51" s="246"/>
      <c r="R51" s="246"/>
      <c r="S51" s="246"/>
      <c r="T51" s="246"/>
    </row>
    <row r="52" ht="15.75" customHeight="1">
      <c r="A52" s="248" t="s">
        <v>96</v>
      </c>
      <c r="B52" s="41"/>
      <c r="C52" s="41"/>
      <c r="D52" s="41"/>
      <c r="E52" s="42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43"/>
      <c r="Q52" s="43"/>
      <c r="R52" s="43"/>
      <c r="S52" s="43"/>
      <c r="T52" s="43"/>
    </row>
    <row r="53" ht="15.75" customHeight="1">
      <c r="A53" s="248" t="s">
        <v>97</v>
      </c>
      <c r="B53" s="41"/>
      <c r="C53" s="41"/>
      <c r="D53" s="41"/>
      <c r="E53" s="42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43"/>
      <c r="Q53" s="43"/>
      <c r="R53" s="43"/>
      <c r="S53" s="43"/>
      <c r="T53" s="43"/>
    </row>
    <row r="54" ht="15.75" customHeight="1">
      <c r="A54" s="248" t="s">
        <v>98</v>
      </c>
      <c r="B54" s="41"/>
      <c r="C54" s="41"/>
      <c r="D54" s="41"/>
      <c r="E54" s="42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43"/>
      <c r="Q54" s="43"/>
      <c r="R54" s="43"/>
      <c r="S54" s="43"/>
      <c r="T54" s="43"/>
    </row>
    <row r="55" ht="15.75" customHeight="1">
      <c r="A55" s="248" t="s">
        <v>99</v>
      </c>
      <c r="B55" s="41"/>
      <c r="C55" s="41"/>
      <c r="D55" s="41"/>
      <c r="E55" s="42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43"/>
      <c r="Q55" s="43"/>
      <c r="R55" s="43"/>
      <c r="S55" s="43"/>
      <c r="T55" s="43"/>
    </row>
    <row r="56" ht="15.75" customHeight="1">
      <c r="A56" s="248" t="s">
        <v>100</v>
      </c>
      <c r="B56" s="41"/>
      <c r="C56" s="41"/>
      <c r="D56" s="41"/>
      <c r="E56" s="42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43"/>
      <c r="Q56" s="43"/>
      <c r="R56" s="43"/>
      <c r="S56" s="43"/>
      <c r="T56" s="43"/>
    </row>
    <row r="57" ht="15.75" customHeight="1">
      <c r="A57" s="248" t="s">
        <v>101</v>
      </c>
      <c r="B57" s="41"/>
      <c r="C57" s="41"/>
      <c r="D57" s="41"/>
      <c r="E57" s="42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43"/>
      <c r="Q57" s="43"/>
      <c r="R57" s="43"/>
      <c r="S57" s="43"/>
      <c r="T57" s="43"/>
    </row>
    <row r="58" ht="15.75" customHeight="1">
      <c r="A58" s="248" t="s">
        <v>102</v>
      </c>
      <c r="B58" s="41"/>
      <c r="C58" s="41"/>
      <c r="D58" s="41"/>
      <c r="E58" s="42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43"/>
      <c r="Q58" s="43"/>
      <c r="R58" s="43"/>
      <c r="S58" s="43"/>
      <c r="T58" s="43"/>
    </row>
    <row r="59" ht="15.75" customHeight="1">
      <c r="A59" s="248" t="s">
        <v>103</v>
      </c>
      <c r="B59" s="41"/>
      <c r="C59" s="41"/>
      <c r="D59" s="41"/>
      <c r="E59" s="42"/>
      <c r="F59" s="11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ht="15.75" customHeight="1">
      <c r="A60" s="76"/>
      <c r="B60" s="43"/>
      <c r="C60" s="113"/>
      <c r="D60" s="113"/>
      <c r="E60" s="11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ht="15.75" customHeight="1">
      <c r="A61" s="114" t="s">
        <v>55</v>
      </c>
      <c r="B61" s="120"/>
      <c r="C61" s="115" t="s">
        <v>163</v>
      </c>
      <c r="D61" s="115" t="s">
        <v>127</v>
      </c>
      <c r="E61" s="115" t="s">
        <v>128</v>
      </c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ht="15.75" customHeight="1">
      <c r="A62" s="76" t="s">
        <v>164</v>
      </c>
      <c r="B62" s="43"/>
      <c r="C62" s="118">
        <f t="shared" ref="C62:E62" si="44">SUM(C63:C65)</f>
        <v>315046306.4</v>
      </c>
      <c r="D62" s="206">
        <f t="shared" si="44"/>
        <v>316754635.2</v>
      </c>
      <c r="E62" s="118">
        <f t="shared" si="44"/>
        <v>-1708328.76</v>
      </c>
      <c r="F62" s="76"/>
      <c r="G62" s="43"/>
      <c r="H62" s="43"/>
      <c r="I62" s="43"/>
      <c r="J62" s="43"/>
      <c r="K62" s="43"/>
      <c r="L62" s="76"/>
      <c r="M62" s="76"/>
      <c r="N62" s="118">
        <f>SUM(N63:N65)</f>
        <v>311368378.2</v>
      </c>
      <c r="O62" s="43"/>
      <c r="P62" s="43"/>
      <c r="Q62" s="43"/>
      <c r="R62" s="43"/>
      <c r="S62" s="43"/>
      <c r="T62" s="43"/>
    </row>
    <row r="63" ht="15.75" customHeight="1">
      <c r="A63" s="43" t="s">
        <v>165</v>
      </c>
      <c r="B63" s="43"/>
      <c r="C63" s="119">
        <f>N15</f>
        <v>249351931.8</v>
      </c>
      <c r="D63" s="117">
        <f>O18</f>
        <v>249351931.8</v>
      </c>
      <c r="E63" s="119">
        <f t="shared" ref="E63:E65" si="45">C63-D63</f>
        <v>0</v>
      </c>
      <c r="F63" s="119"/>
      <c r="G63" s="43"/>
      <c r="H63" s="43"/>
      <c r="I63" s="43"/>
      <c r="J63" s="43"/>
      <c r="K63" s="43"/>
      <c r="L63" s="43"/>
      <c r="M63" s="43"/>
      <c r="N63" s="119">
        <f>N16</f>
        <v>245674003.6</v>
      </c>
      <c r="O63" s="250"/>
      <c r="P63" s="43"/>
      <c r="Q63" s="43"/>
      <c r="R63" s="43"/>
      <c r="S63" s="43"/>
      <c r="T63" s="43"/>
    </row>
    <row r="64" ht="15.75" customHeight="1">
      <c r="A64" s="43" t="s">
        <v>166</v>
      </c>
      <c r="B64" s="43"/>
      <c r="C64" s="119">
        <f>N24</f>
        <v>65694374.67</v>
      </c>
      <c r="D64" s="119">
        <f>N22</f>
        <v>67402703.43</v>
      </c>
      <c r="E64" s="119">
        <f t="shared" si="45"/>
        <v>-1708328.76</v>
      </c>
      <c r="F64" s="119"/>
      <c r="G64" s="43"/>
      <c r="M64" s="43"/>
      <c r="N64" s="119">
        <f>N25</f>
        <v>65694374.67</v>
      </c>
      <c r="O64" s="251"/>
      <c r="P64" s="43"/>
      <c r="Q64" s="43"/>
      <c r="R64" s="43"/>
      <c r="S64" s="43"/>
      <c r="T64" s="43"/>
    </row>
    <row r="65" ht="15.75" customHeight="1">
      <c r="A65" s="120" t="s">
        <v>167</v>
      </c>
      <c r="B65" s="120"/>
      <c r="C65" s="252">
        <v>0.0</v>
      </c>
      <c r="D65" s="252">
        <v>0.0</v>
      </c>
      <c r="E65" s="122">
        <f t="shared" si="45"/>
        <v>0</v>
      </c>
      <c r="F65" s="43"/>
      <c r="G65" s="43"/>
      <c r="M65" s="43"/>
      <c r="N65" s="253">
        <v>0.0</v>
      </c>
      <c r="O65" s="43"/>
      <c r="P65" s="43"/>
      <c r="Q65" s="43"/>
      <c r="R65" s="43"/>
      <c r="S65" s="43"/>
      <c r="T65" s="43"/>
    </row>
    <row r="66" ht="15.75" customHeight="1">
      <c r="A66" s="76" t="s">
        <v>168</v>
      </c>
      <c r="B66" s="43"/>
      <c r="C66" s="118">
        <f t="shared" ref="C66:E66" si="46">SUM(C67:C69)</f>
        <v>94213049.99</v>
      </c>
      <c r="D66" s="118">
        <f t="shared" si="46"/>
        <v>94213049.99</v>
      </c>
      <c r="E66" s="118">
        <f t="shared" si="46"/>
        <v>0</v>
      </c>
      <c r="F66" s="43"/>
      <c r="G66" s="43"/>
      <c r="M66" s="76"/>
      <c r="N66" s="118">
        <f>SUM(N67:N68)</f>
        <v>94213049.99</v>
      </c>
      <c r="O66" s="43"/>
      <c r="P66" s="43"/>
      <c r="Q66" s="43"/>
      <c r="R66" s="43"/>
      <c r="S66" s="43"/>
      <c r="T66" s="43"/>
    </row>
    <row r="67" ht="15.75" customHeight="1">
      <c r="A67" s="43" t="s">
        <v>169</v>
      </c>
      <c r="B67" s="43"/>
      <c r="C67" s="119">
        <f>N42</f>
        <v>79505473.85</v>
      </c>
      <c r="D67" s="119">
        <f>N43</f>
        <v>79505473.85</v>
      </c>
      <c r="E67" s="119">
        <f t="shared" ref="E67:E69" si="47">C67-D67</f>
        <v>0</v>
      </c>
      <c r="F67" s="43"/>
      <c r="G67" s="43"/>
      <c r="M67" s="43"/>
      <c r="N67" s="119">
        <f>N42</f>
        <v>79505473.85</v>
      </c>
      <c r="O67" s="43"/>
      <c r="P67" s="43"/>
      <c r="Q67" s="43"/>
      <c r="R67" s="43"/>
      <c r="S67" s="43"/>
      <c r="T67" s="43"/>
    </row>
    <row r="68" ht="15.75" customHeight="1">
      <c r="A68" s="43" t="s">
        <v>160</v>
      </c>
      <c r="B68" s="43"/>
      <c r="C68" s="119">
        <f>N48</f>
        <v>14707576.14</v>
      </c>
      <c r="D68" s="119">
        <f>N49</f>
        <v>14707576.14</v>
      </c>
      <c r="E68" s="119">
        <f t="shared" si="47"/>
        <v>0</v>
      </c>
      <c r="F68" s="43"/>
      <c r="G68" s="43"/>
      <c r="M68" s="43"/>
      <c r="N68" s="119">
        <f>N48</f>
        <v>14707576.14</v>
      </c>
      <c r="O68" s="43"/>
      <c r="P68" s="43"/>
      <c r="Q68" s="43"/>
      <c r="R68" s="43"/>
      <c r="S68" s="43"/>
      <c r="T68" s="43"/>
    </row>
    <row r="69" ht="15.75" customHeight="1">
      <c r="A69" s="120" t="s">
        <v>170</v>
      </c>
      <c r="B69" s="120"/>
      <c r="C69" s="252">
        <v>0.0</v>
      </c>
      <c r="D69" s="252">
        <v>0.0</v>
      </c>
      <c r="E69" s="122">
        <f t="shared" si="47"/>
        <v>0</v>
      </c>
      <c r="F69" s="43"/>
      <c r="G69" s="43"/>
      <c r="M69" s="43"/>
      <c r="N69" s="253">
        <v>0.0</v>
      </c>
      <c r="O69" s="43"/>
      <c r="P69" s="43"/>
      <c r="Q69" s="43"/>
      <c r="R69" s="43"/>
      <c r="S69" s="43"/>
      <c r="T69" s="43"/>
    </row>
    <row r="70" ht="15.75" customHeight="1">
      <c r="A70" s="76" t="s">
        <v>171</v>
      </c>
      <c r="B70" s="43"/>
      <c r="C70" s="206">
        <f t="shared" ref="C70:E70" si="48">SUM(C71:C74)</f>
        <v>94228607.55</v>
      </c>
      <c r="D70" s="206">
        <f t="shared" si="48"/>
        <v>94228607.55</v>
      </c>
      <c r="E70" s="206">
        <f t="shared" si="48"/>
        <v>0</v>
      </c>
      <c r="F70" s="43"/>
      <c r="G70" s="43"/>
      <c r="M70" s="76"/>
      <c r="N70" s="254">
        <f>SUM(N71:N72)</f>
        <v>0</v>
      </c>
      <c r="O70" s="43"/>
      <c r="P70" s="43"/>
      <c r="Q70" s="43"/>
      <c r="R70" s="43"/>
      <c r="S70" s="43"/>
      <c r="T70" s="43"/>
    </row>
    <row r="71" ht="15.75" customHeight="1">
      <c r="A71" s="43" t="s">
        <v>172</v>
      </c>
      <c r="B71" s="43"/>
      <c r="C71" s="255">
        <v>0.0</v>
      </c>
      <c r="D71" s="255">
        <v>0.0</v>
      </c>
      <c r="E71" s="117">
        <f t="shared" ref="E71:E74" si="49">C71-D71</f>
        <v>0</v>
      </c>
      <c r="F71" s="43"/>
      <c r="G71" s="43"/>
      <c r="H71" s="43"/>
      <c r="I71" s="43"/>
      <c r="J71" s="43"/>
      <c r="K71" s="43"/>
      <c r="L71" s="43"/>
      <c r="M71" s="43"/>
      <c r="N71" s="253">
        <v>0.0</v>
      </c>
      <c r="O71" s="43"/>
      <c r="P71" s="43"/>
      <c r="Q71" s="43"/>
      <c r="R71" s="43"/>
      <c r="S71" s="43"/>
      <c r="T71" s="43"/>
    </row>
    <row r="72" ht="15.75" customHeight="1">
      <c r="A72" s="43" t="s">
        <v>173</v>
      </c>
      <c r="B72" s="43"/>
      <c r="C72" s="255">
        <v>0.0</v>
      </c>
      <c r="D72" s="255">
        <v>0.0</v>
      </c>
      <c r="E72" s="117">
        <f t="shared" si="49"/>
        <v>0</v>
      </c>
      <c r="F72" s="43"/>
      <c r="G72" s="43"/>
      <c r="H72" s="43"/>
      <c r="I72" s="43"/>
      <c r="J72" s="43"/>
      <c r="K72" s="43"/>
      <c r="L72" s="43"/>
      <c r="M72" s="43"/>
      <c r="N72" s="253">
        <v>0.0</v>
      </c>
      <c r="O72" s="43"/>
      <c r="P72" s="43"/>
      <c r="Q72" s="43"/>
      <c r="R72" s="43"/>
      <c r="S72" s="43"/>
      <c r="T72" s="43"/>
    </row>
    <row r="73" ht="15.75" customHeight="1">
      <c r="A73" s="43" t="s">
        <v>174</v>
      </c>
      <c r="B73" s="43"/>
      <c r="C73" s="119">
        <f t="shared" ref="C73:D73" si="50">C67+C68</f>
        <v>94213049.99</v>
      </c>
      <c r="D73" s="119">
        <f t="shared" si="50"/>
        <v>94213049.99</v>
      </c>
      <c r="E73" s="119">
        <f t="shared" si="49"/>
        <v>0</v>
      </c>
      <c r="F73" s="43"/>
      <c r="G73" s="43"/>
      <c r="H73" s="43"/>
      <c r="I73" s="43"/>
      <c r="J73" s="43"/>
      <c r="K73" s="43"/>
      <c r="L73" s="43"/>
      <c r="M73" s="43"/>
      <c r="N73" s="119">
        <f>N67+N68</f>
        <v>94213049.99</v>
      </c>
      <c r="O73" s="43"/>
      <c r="P73" s="43"/>
      <c r="Q73" s="43"/>
      <c r="R73" s="43"/>
      <c r="S73" s="43"/>
      <c r="T73" s="43"/>
    </row>
    <row r="74" ht="15.75" customHeight="1">
      <c r="A74" s="120" t="s">
        <v>175</v>
      </c>
      <c r="B74" s="120"/>
      <c r="C74" s="252">
        <f>N13-4000.39</f>
        <v>15557.56</v>
      </c>
      <c r="D74" s="252">
        <f>P13-4000.39</f>
        <v>15557.56</v>
      </c>
      <c r="E74" s="122">
        <f t="shared" si="49"/>
        <v>0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ht="15.75" customHeight="1">
      <c r="A75" s="43"/>
      <c r="B75" s="43"/>
      <c r="C75" s="43"/>
      <c r="D75" s="43"/>
      <c r="E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ht="15.75" customHeight="1">
      <c r="A76" s="76" t="s">
        <v>176</v>
      </c>
      <c r="B76" s="43"/>
      <c r="C76" s="113" t="s">
        <v>177</v>
      </c>
      <c r="D76" s="256" t="s">
        <v>178</v>
      </c>
      <c r="E76" s="12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ht="15.75" customHeight="1">
      <c r="A77" s="105" t="s">
        <v>179</v>
      </c>
      <c r="B77" s="105"/>
      <c r="C77" s="257">
        <v>0.0</v>
      </c>
      <c r="D77" s="258" t="s">
        <v>180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ht="15.75" customHeight="1">
      <c r="A78" s="43" t="s">
        <v>181</v>
      </c>
      <c r="B78" s="117"/>
      <c r="C78" s="186">
        <v>2.649398972574E10</v>
      </c>
      <c r="D78" s="258" t="s">
        <v>180</v>
      </c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ht="15.75" customHeight="1">
      <c r="A79" s="43" t="s">
        <v>182</v>
      </c>
      <c r="B79" s="43"/>
      <c r="C79" s="186">
        <v>2.1510682E7</v>
      </c>
      <c r="D79" s="258" t="s">
        <v>180</v>
      </c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ht="15.75" customHeight="1">
      <c r="A80" s="43" t="s">
        <v>183</v>
      </c>
      <c r="B80" s="43"/>
      <c r="C80" s="186">
        <v>5.4921718E7</v>
      </c>
      <c r="D80" s="258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ht="15.75" customHeight="1">
      <c r="A81" s="43" t="s">
        <v>184</v>
      </c>
      <c r="B81" s="43"/>
      <c r="C81" s="119">
        <f>C77+C78-C79-C80</f>
        <v>26417557326</v>
      </c>
      <c r="D81" s="258" t="s">
        <v>180</v>
      </c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ht="15.75" customHeight="1">
      <c r="A82" s="43" t="s">
        <v>185</v>
      </c>
      <c r="B82" s="43"/>
      <c r="C82" s="119">
        <f>C62-C74</f>
        <v>315030748.9</v>
      </c>
      <c r="D82" s="259">
        <f>(C82/C81)*100</f>
        <v>1.192505215</v>
      </c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ht="15.75" customHeight="1">
      <c r="A83" s="43" t="s">
        <v>186</v>
      </c>
      <c r="B83" s="43"/>
      <c r="C83" s="119">
        <f>ROUND($C$81*F83,2)</f>
        <v>412113894.3</v>
      </c>
      <c r="D83" s="259">
        <f>(C83/C81)*100</f>
        <v>1.56</v>
      </c>
      <c r="F83" s="260">
        <v>0.0156</v>
      </c>
      <c r="G83" s="103" t="s">
        <v>187</v>
      </c>
      <c r="H83" s="43"/>
      <c r="I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ht="15.75" customHeight="1">
      <c r="A84" s="43" t="s">
        <v>188</v>
      </c>
      <c r="B84" s="43"/>
      <c r="C84" s="119">
        <f t="shared" ref="C84:C85" si="51">ROUND($C$81*I84,2)</f>
        <v>391508199.6</v>
      </c>
      <c r="D84" s="259">
        <f t="shared" ref="D84:D85" si="52">I84*100</f>
        <v>1.482</v>
      </c>
      <c r="F84" s="260">
        <v>0.95</v>
      </c>
      <c r="G84" s="103" t="s">
        <v>189</v>
      </c>
      <c r="H84" s="43"/>
      <c r="I84" s="261">
        <f t="shared" ref="I84:I85" si="53">ROUND($F$83*F84,6)</f>
        <v>0.01482</v>
      </c>
      <c r="P84" s="43"/>
      <c r="Q84" s="43"/>
      <c r="R84" s="43"/>
      <c r="S84" s="43"/>
      <c r="T84" s="43"/>
    </row>
    <row r="85" ht="15.75" customHeight="1">
      <c r="A85" s="120" t="s">
        <v>190</v>
      </c>
      <c r="B85" s="120"/>
      <c r="C85" s="197">
        <f t="shared" si="51"/>
        <v>370902504.9</v>
      </c>
      <c r="D85" s="262">
        <f t="shared" si="52"/>
        <v>1.404</v>
      </c>
      <c r="E85" s="263"/>
      <c r="F85" s="260">
        <v>0.9</v>
      </c>
      <c r="G85" s="103" t="s">
        <v>191</v>
      </c>
      <c r="H85" s="43"/>
      <c r="I85" s="261">
        <f t="shared" si="53"/>
        <v>0.01404</v>
      </c>
      <c r="P85" s="43"/>
      <c r="Q85" s="43"/>
      <c r="R85" s="43"/>
      <c r="S85" s="43"/>
      <c r="T85" s="43"/>
    </row>
    <row r="86" ht="15.7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P86" s="43"/>
      <c r="Q86" s="43"/>
      <c r="R86" s="43"/>
      <c r="S86" s="43"/>
      <c r="T86" s="43"/>
    </row>
    <row r="87" ht="15.75" customHeight="1">
      <c r="A87" s="264" t="s">
        <v>192</v>
      </c>
      <c r="B87" s="123"/>
      <c r="C87" s="265"/>
      <c r="D87" s="43"/>
      <c r="E87" s="43"/>
      <c r="F87" s="43"/>
      <c r="G87" s="43"/>
      <c r="H87" s="43"/>
      <c r="I87" s="43"/>
      <c r="J87" s="43"/>
      <c r="P87" s="251">
        <f>B90/B89</f>
        <v>0.005422736562</v>
      </c>
      <c r="Q87" s="43"/>
      <c r="R87" s="43"/>
      <c r="S87" s="43"/>
      <c r="T87" s="43"/>
    </row>
    <row r="88" ht="15.75" customHeight="1">
      <c r="A88" s="265"/>
      <c r="B88" s="123"/>
      <c r="C88" s="265"/>
      <c r="D88" s="43"/>
      <c r="E88" s="43"/>
      <c r="F88" s="43"/>
      <c r="G88" s="43"/>
      <c r="H88" s="43"/>
      <c r="I88" s="43"/>
      <c r="J88" s="43"/>
      <c r="P88" s="43"/>
      <c r="Q88" s="43"/>
      <c r="R88" s="43"/>
      <c r="S88" s="43"/>
      <c r="T88" s="43"/>
    </row>
    <row r="89" ht="15.75" customHeight="1">
      <c r="A89" s="266" t="s">
        <v>193</v>
      </c>
      <c r="B89" s="267">
        <f>C82</f>
        <v>315030748.9</v>
      </c>
      <c r="C89" s="268" t="s">
        <v>194</v>
      </c>
      <c r="D89" s="62"/>
      <c r="E89" s="63"/>
      <c r="F89" s="43"/>
      <c r="G89" s="43"/>
      <c r="H89" s="43"/>
      <c r="I89" s="43"/>
      <c r="J89" s="43"/>
      <c r="P89" s="251">
        <f>B92/B89</f>
        <v>0.01437374296</v>
      </c>
      <c r="Q89" s="43"/>
      <c r="R89" s="43"/>
      <c r="S89" s="43"/>
      <c r="T89" s="43"/>
    </row>
    <row r="90" ht="15.75" customHeight="1">
      <c r="A90" s="266" t="s">
        <v>195</v>
      </c>
      <c r="B90" s="269">
        <f>N26</f>
        <v>1708328.76</v>
      </c>
      <c r="C90" s="270" t="s">
        <v>196</v>
      </c>
      <c r="D90" s="110"/>
      <c r="E90" s="111"/>
      <c r="F90" s="271">
        <f>B90/C82</f>
        <v>0.005422736562</v>
      </c>
      <c r="G90" s="43"/>
      <c r="H90" s="43"/>
      <c r="I90" s="43"/>
      <c r="J90" s="43"/>
      <c r="P90" s="43"/>
      <c r="Q90" s="43"/>
      <c r="R90" s="43"/>
      <c r="S90" s="43"/>
      <c r="T90" s="43"/>
    </row>
    <row r="91" ht="15.75" customHeight="1">
      <c r="A91" s="266" t="s">
        <v>197</v>
      </c>
      <c r="B91" s="269">
        <f>SUM(B89:B90)</f>
        <v>316739077.6</v>
      </c>
      <c r="C91" s="272" t="s">
        <v>198</v>
      </c>
      <c r="D91" s="110"/>
      <c r="E91" s="111"/>
      <c r="F91" s="258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ht="15.75" customHeight="1">
      <c r="A92" s="266" t="s">
        <v>199</v>
      </c>
      <c r="B92" s="269">
        <f>N33</f>
        <v>4528171.01</v>
      </c>
      <c r="C92" s="273" t="s">
        <v>200</v>
      </c>
      <c r="D92" s="59"/>
      <c r="E92" s="60"/>
      <c r="F92" s="271">
        <f>N33/B89</f>
        <v>0.01437374296</v>
      </c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ht="15.75" customHeight="1">
      <c r="A93" s="266" t="s">
        <v>201</v>
      </c>
      <c r="B93" s="269">
        <f>SUM(B91:B92)</f>
        <v>321267248.6</v>
      </c>
      <c r="C93" s="272" t="s">
        <v>202</v>
      </c>
      <c r="D93" s="110"/>
      <c r="E93" s="111"/>
      <c r="F93" s="274">
        <f>B93/C81</f>
        <v>0.0121611262</v>
      </c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ht="15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43"/>
      <c r="Q95" s="43"/>
      <c r="R95" s="43"/>
      <c r="S95" s="43"/>
      <c r="T95" s="43"/>
    </row>
    <row r="96" ht="15.75" customHeight="1">
      <c r="A96" s="248" t="s">
        <v>96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2"/>
      <c r="P96" s="43"/>
      <c r="Q96" s="43"/>
      <c r="R96" s="43"/>
      <c r="S96" s="43"/>
      <c r="T96" s="43"/>
    </row>
    <row r="97" ht="15.75" customHeight="1">
      <c r="A97" s="248" t="s">
        <v>97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2"/>
      <c r="P97" s="43"/>
      <c r="Q97" s="43"/>
      <c r="R97" s="43"/>
      <c r="S97" s="43"/>
      <c r="T97" s="43"/>
    </row>
    <row r="98" ht="15.75" customHeight="1">
      <c r="A98" s="248" t="s">
        <v>98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2"/>
      <c r="P98" s="43"/>
      <c r="Q98" s="43"/>
      <c r="R98" s="43"/>
      <c r="S98" s="43"/>
      <c r="T98" s="43"/>
    </row>
    <row r="99" ht="15.75" customHeight="1">
      <c r="A99" s="248" t="s">
        <v>99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2"/>
      <c r="P99" s="45"/>
      <c r="Q99" s="45"/>
      <c r="R99" s="45"/>
      <c r="S99" s="45"/>
      <c r="T99" s="45"/>
    </row>
    <row r="100" ht="15.75" customHeight="1">
      <c r="A100" s="248" t="s">
        <v>100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2"/>
      <c r="P100" s="45"/>
      <c r="Q100" s="45"/>
      <c r="R100" s="45"/>
      <c r="S100" s="45"/>
      <c r="T100" s="45"/>
    </row>
    <row r="101" ht="15.75" customHeight="1">
      <c r="A101" s="248" t="s">
        <v>101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2"/>
      <c r="P101" s="45"/>
      <c r="Q101" s="45"/>
      <c r="R101" s="45"/>
      <c r="S101" s="45"/>
      <c r="T101" s="45"/>
    </row>
    <row r="102" ht="15.75" customHeight="1">
      <c r="A102" s="248" t="str">
        <f t="shared" ref="A102:A103" si="54">A58</f>
        <v>2º Quadrimestre de 2020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2"/>
      <c r="P102" s="45"/>
      <c r="Q102" s="45"/>
      <c r="R102" s="45"/>
      <c r="S102" s="45"/>
      <c r="T102" s="45"/>
    </row>
    <row r="103" ht="15.75" customHeight="1">
      <c r="A103" s="248" t="str">
        <f t="shared" si="54"/>
        <v>Período: setembro/2019 a agosto/2020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2"/>
      <c r="P103" s="43"/>
      <c r="Q103" s="43"/>
      <c r="R103" s="43"/>
      <c r="S103" s="43"/>
      <c r="T103" s="43"/>
    </row>
    <row r="104" ht="15.75" customHeight="1">
      <c r="A104" s="275" t="s">
        <v>54</v>
      </c>
      <c r="B104" s="276"/>
      <c r="C104" s="276"/>
      <c r="D104" s="276"/>
      <c r="E104" s="276"/>
      <c r="F104" s="277"/>
      <c r="G104" s="277"/>
      <c r="H104" s="277"/>
      <c r="I104" s="276"/>
      <c r="J104" s="276"/>
      <c r="K104" s="276"/>
      <c r="L104" s="276"/>
      <c r="M104" s="276"/>
      <c r="N104" s="50">
        <v>1.0</v>
      </c>
      <c r="O104" s="51"/>
      <c r="Q104" s="52"/>
      <c r="R104" s="43"/>
      <c r="S104" s="43"/>
      <c r="T104" s="43"/>
    </row>
    <row r="105" ht="15.75" customHeight="1">
      <c r="A105" s="278" t="s">
        <v>55</v>
      </c>
      <c r="B105" s="279" t="s">
        <v>56</v>
      </c>
      <c r="O105" s="108"/>
      <c r="P105" s="52"/>
      <c r="Q105" s="52"/>
      <c r="R105" s="43"/>
      <c r="S105" s="43"/>
      <c r="T105" s="43"/>
    </row>
    <row r="106" ht="15.75" customHeight="1">
      <c r="A106" s="57"/>
      <c r="B106" s="280" t="s">
        <v>57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1"/>
      <c r="P106" s="52"/>
      <c r="Q106" s="52"/>
      <c r="R106" s="43"/>
      <c r="S106" s="43"/>
      <c r="T106" s="43"/>
    </row>
    <row r="107" ht="15.75" customHeight="1">
      <c r="A107" s="57"/>
      <c r="B107" s="280" t="s">
        <v>58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1"/>
      <c r="P107" s="52"/>
      <c r="Q107" s="52"/>
      <c r="R107" s="43"/>
      <c r="S107" s="43"/>
      <c r="T107" s="43"/>
    </row>
    <row r="108" ht="15.75" customHeight="1">
      <c r="A108" s="65"/>
      <c r="B108" s="281">
        <f>B2</f>
        <v>43709</v>
      </c>
      <c r="C108" s="281">
        <f t="shared" ref="C108:M108" si="55">B108+31</f>
        <v>43740</v>
      </c>
      <c r="D108" s="281">
        <f t="shared" si="55"/>
        <v>43771</v>
      </c>
      <c r="E108" s="281">
        <f t="shared" si="55"/>
        <v>43802</v>
      </c>
      <c r="F108" s="281">
        <f t="shared" si="55"/>
        <v>43833</v>
      </c>
      <c r="G108" s="281">
        <f t="shared" si="55"/>
        <v>43864</v>
      </c>
      <c r="H108" s="281">
        <f t="shared" si="55"/>
        <v>43895</v>
      </c>
      <c r="I108" s="281">
        <f t="shared" si="55"/>
        <v>43926</v>
      </c>
      <c r="J108" s="281">
        <f t="shared" si="55"/>
        <v>43957</v>
      </c>
      <c r="K108" s="281">
        <f t="shared" si="55"/>
        <v>43988</v>
      </c>
      <c r="L108" s="281">
        <f t="shared" si="55"/>
        <v>44019</v>
      </c>
      <c r="M108" s="281">
        <f t="shared" si="55"/>
        <v>44050</v>
      </c>
      <c r="N108" s="282" t="s">
        <v>60</v>
      </c>
      <c r="O108" s="282" t="s">
        <v>59</v>
      </c>
      <c r="P108" s="52"/>
      <c r="Q108" s="52"/>
      <c r="R108" s="43"/>
      <c r="S108" s="43"/>
      <c r="T108" s="43"/>
    </row>
    <row r="109" ht="15.75" customHeight="1">
      <c r="A109" s="283" t="s">
        <v>203</v>
      </c>
      <c r="B109" s="12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1"/>
      <c r="P109" s="52"/>
      <c r="Q109" s="52"/>
      <c r="R109" s="43"/>
      <c r="S109" s="43"/>
      <c r="T109" s="43"/>
    </row>
    <row r="110" ht="15.75" customHeight="1">
      <c r="A110" s="284" t="s">
        <v>61</v>
      </c>
      <c r="B110" s="285">
        <f t="shared" ref="B110:M110" si="56">B111+B115</f>
        <v>31925502.02</v>
      </c>
      <c r="C110" s="285">
        <f t="shared" si="56"/>
        <v>31725721.89</v>
      </c>
      <c r="D110" s="285">
        <f t="shared" si="56"/>
        <v>31680917.71</v>
      </c>
      <c r="E110" s="285">
        <f t="shared" si="56"/>
        <v>62164351.39</v>
      </c>
      <c r="F110" s="285">
        <f t="shared" si="56"/>
        <v>31435470.35</v>
      </c>
      <c r="G110" s="285">
        <f t="shared" si="56"/>
        <v>31438702.5</v>
      </c>
      <c r="H110" s="285">
        <f t="shared" si="56"/>
        <v>31441164.52</v>
      </c>
      <c r="I110" s="285">
        <f t="shared" si="56"/>
        <v>31397791.92</v>
      </c>
      <c r="J110" s="285">
        <f t="shared" si="56"/>
        <v>31503730.98</v>
      </c>
      <c r="K110" s="285">
        <f t="shared" si="56"/>
        <v>31468685.07</v>
      </c>
      <c r="L110" s="285">
        <f t="shared" si="56"/>
        <v>31456823.47</v>
      </c>
      <c r="M110" s="285">
        <f t="shared" si="56"/>
        <v>31620494.59</v>
      </c>
      <c r="N110" s="285">
        <f t="shared" ref="N110:N125" si="58">SUM(B110:M110)</f>
        <v>409259356.4</v>
      </c>
      <c r="O110" s="286" t="s">
        <v>62</v>
      </c>
      <c r="P110" s="52"/>
      <c r="Q110" s="52"/>
      <c r="R110" s="43"/>
      <c r="S110" s="43"/>
      <c r="T110" s="43"/>
    </row>
    <row r="111" ht="15.75" customHeight="1">
      <c r="A111" s="284" t="s">
        <v>63</v>
      </c>
      <c r="B111" s="287">
        <f t="shared" ref="B111:M111" si="57">SUM(B112:B114)</f>
        <v>25362826.29</v>
      </c>
      <c r="C111" s="287">
        <f t="shared" si="57"/>
        <v>25076537.36</v>
      </c>
      <c r="D111" s="287">
        <f t="shared" si="57"/>
        <v>25038667.26</v>
      </c>
      <c r="E111" s="287">
        <f t="shared" si="57"/>
        <v>47396590.05</v>
      </c>
      <c r="F111" s="287">
        <f t="shared" si="57"/>
        <v>24004046.83</v>
      </c>
      <c r="G111" s="287">
        <f t="shared" si="57"/>
        <v>24007278.99</v>
      </c>
      <c r="H111" s="287">
        <f t="shared" si="57"/>
        <v>23992933.93</v>
      </c>
      <c r="I111" s="287">
        <f t="shared" si="57"/>
        <v>23948091.83</v>
      </c>
      <c r="J111" s="287">
        <f t="shared" si="57"/>
        <v>24002698.64</v>
      </c>
      <c r="K111" s="287">
        <f t="shared" si="57"/>
        <v>24030003.27</v>
      </c>
      <c r="L111" s="287">
        <f t="shared" si="57"/>
        <v>24026120.23</v>
      </c>
      <c r="M111" s="287">
        <f t="shared" si="57"/>
        <v>24160511.74</v>
      </c>
      <c r="N111" s="288">
        <f t="shared" si="58"/>
        <v>315046306.4</v>
      </c>
      <c r="O111" s="289" t="s">
        <v>62</v>
      </c>
      <c r="P111" s="75"/>
      <c r="Q111" s="75"/>
      <c r="R111" s="76"/>
      <c r="S111" s="76"/>
      <c r="T111" s="76"/>
    </row>
    <row r="112" ht="15.75" customHeight="1">
      <c r="A112" s="290" t="s">
        <v>64</v>
      </c>
      <c r="B112" s="291">
        <f t="shared" ref="B112:M112" si="59">B15</f>
        <v>20127170.87</v>
      </c>
      <c r="C112" s="291">
        <f t="shared" si="59"/>
        <v>19862875.11</v>
      </c>
      <c r="D112" s="291">
        <f t="shared" si="59"/>
        <v>19837131.3</v>
      </c>
      <c r="E112" s="291">
        <f t="shared" si="59"/>
        <v>37489160.3</v>
      </c>
      <c r="F112" s="291">
        <f t="shared" si="59"/>
        <v>19007127.11</v>
      </c>
      <c r="G112" s="291">
        <f t="shared" si="59"/>
        <v>19009584.56</v>
      </c>
      <c r="H112" s="291">
        <f t="shared" si="59"/>
        <v>18996414.7</v>
      </c>
      <c r="I112" s="291">
        <f t="shared" si="59"/>
        <v>18961417.53</v>
      </c>
      <c r="J112" s="291">
        <f t="shared" si="59"/>
        <v>19006803.37</v>
      </c>
      <c r="K112" s="291">
        <f t="shared" si="59"/>
        <v>19031194.33</v>
      </c>
      <c r="L112" s="291">
        <f t="shared" si="59"/>
        <v>19027618.92</v>
      </c>
      <c r="M112" s="291">
        <f t="shared" si="59"/>
        <v>18995433.65</v>
      </c>
      <c r="N112" s="292">
        <f t="shared" si="58"/>
        <v>249351931.8</v>
      </c>
      <c r="O112" s="293" t="s">
        <v>62</v>
      </c>
      <c r="P112" s="52"/>
      <c r="Q112" s="52"/>
      <c r="R112" s="43"/>
      <c r="S112" s="43"/>
      <c r="T112" s="43"/>
    </row>
    <row r="113" ht="15.75" customHeight="1">
      <c r="A113" s="290" t="s">
        <v>65</v>
      </c>
      <c r="B113" s="291">
        <f t="shared" ref="B113:M113" si="60">B24</f>
        <v>5235655.42</v>
      </c>
      <c r="C113" s="291">
        <f t="shared" si="60"/>
        <v>5213662.25</v>
      </c>
      <c r="D113" s="291">
        <f t="shared" si="60"/>
        <v>5201535.96</v>
      </c>
      <c r="E113" s="291">
        <f t="shared" si="60"/>
        <v>9907429.75</v>
      </c>
      <c r="F113" s="291">
        <f t="shared" si="60"/>
        <v>4996919.72</v>
      </c>
      <c r="G113" s="291">
        <f t="shared" si="60"/>
        <v>4997694.43</v>
      </c>
      <c r="H113" s="291">
        <f t="shared" si="60"/>
        <v>4996519.23</v>
      </c>
      <c r="I113" s="291">
        <f t="shared" si="60"/>
        <v>4986674.3</v>
      </c>
      <c r="J113" s="291">
        <f t="shared" si="60"/>
        <v>4995895.27</v>
      </c>
      <c r="K113" s="291">
        <f t="shared" si="60"/>
        <v>4998808.94</v>
      </c>
      <c r="L113" s="291">
        <f t="shared" si="60"/>
        <v>4998501.31</v>
      </c>
      <c r="M113" s="291">
        <f t="shared" si="60"/>
        <v>5165078.09</v>
      </c>
      <c r="N113" s="292">
        <f t="shared" si="58"/>
        <v>65694374.67</v>
      </c>
      <c r="O113" s="293" t="s">
        <v>62</v>
      </c>
      <c r="P113" s="52"/>
      <c r="Q113" s="52"/>
      <c r="R113" s="43"/>
      <c r="S113" s="43"/>
      <c r="T113" s="43"/>
    </row>
    <row r="114" ht="15.75" customHeight="1">
      <c r="A114" s="290" t="s">
        <v>66</v>
      </c>
      <c r="B114" s="293" t="s">
        <v>62</v>
      </c>
      <c r="C114" s="293" t="s">
        <v>62</v>
      </c>
      <c r="D114" s="293" t="s">
        <v>62</v>
      </c>
      <c r="E114" s="293" t="s">
        <v>62</v>
      </c>
      <c r="F114" s="293" t="s">
        <v>62</v>
      </c>
      <c r="G114" s="293" t="s">
        <v>62</v>
      </c>
      <c r="H114" s="293" t="s">
        <v>62</v>
      </c>
      <c r="I114" s="293" t="s">
        <v>62</v>
      </c>
      <c r="J114" s="293" t="s">
        <v>62</v>
      </c>
      <c r="K114" s="293" t="s">
        <v>62</v>
      </c>
      <c r="L114" s="293" t="s">
        <v>62</v>
      </c>
      <c r="M114" s="293" t="s">
        <v>62</v>
      </c>
      <c r="N114" s="292">
        <f t="shared" si="58"/>
        <v>0</v>
      </c>
      <c r="O114" s="293" t="s">
        <v>62</v>
      </c>
      <c r="P114" s="52"/>
      <c r="Q114" s="52"/>
      <c r="R114" s="43"/>
      <c r="S114" s="43"/>
      <c r="T114" s="43"/>
    </row>
    <row r="115" ht="15.75" customHeight="1">
      <c r="A115" s="284" t="s">
        <v>67</v>
      </c>
      <c r="B115" s="287">
        <f t="shared" ref="B115:M115" si="61">SUM(B116:B119)</f>
        <v>6562675.73</v>
      </c>
      <c r="C115" s="287">
        <f t="shared" si="61"/>
        <v>6649184.53</v>
      </c>
      <c r="D115" s="287">
        <f t="shared" si="61"/>
        <v>6642250.45</v>
      </c>
      <c r="E115" s="287">
        <f t="shared" si="61"/>
        <v>14767761.34</v>
      </c>
      <c r="F115" s="287">
        <f t="shared" si="61"/>
        <v>7431423.52</v>
      </c>
      <c r="G115" s="287">
        <f t="shared" si="61"/>
        <v>7431423.51</v>
      </c>
      <c r="H115" s="287">
        <f t="shared" si="61"/>
        <v>7448230.59</v>
      </c>
      <c r="I115" s="287">
        <f t="shared" si="61"/>
        <v>7449700.09</v>
      </c>
      <c r="J115" s="287">
        <f t="shared" si="61"/>
        <v>7501032.34</v>
      </c>
      <c r="K115" s="287">
        <f t="shared" si="61"/>
        <v>7438681.8</v>
      </c>
      <c r="L115" s="287">
        <f t="shared" si="61"/>
        <v>7430703.24</v>
      </c>
      <c r="M115" s="287">
        <f t="shared" si="61"/>
        <v>7459982.85</v>
      </c>
      <c r="N115" s="288">
        <f t="shared" si="58"/>
        <v>94213049.99</v>
      </c>
      <c r="O115" s="289" t="s">
        <v>62</v>
      </c>
      <c r="P115" s="75"/>
      <c r="Q115" s="75"/>
      <c r="R115" s="76"/>
      <c r="S115" s="76"/>
      <c r="T115" s="76"/>
    </row>
    <row r="116" ht="15.75" customHeight="1">
      <c r="A116" s="290" t="s">
        <v>68</v>
      </c>
      <c r="B116" s="291">
        <f t="shared" ref="B116:M116" si="62">B42</f>
        <v>5465102.42</v>
      </c>
      <c r="C116" s="291">
        <f t="shared" si="62"/>
        <v>5525353.81</v>
      </c>
      <c r="D116" s="291">
        <f t="shared" si="62"/>
        <v>5521522.71</v>
      </c>
      <c r="E116" s="291">
        <f t="shared" si="62"/>
        <v>12565912.86</v>
      </c>
      <c r="F116" s="291">
        <f t="shared" si="62"/>
        <v>6282956.43</v>
      </c>
      <c r="G116" s="291">
        <f t="shared" si="62"/>
        <v>6282956.43</v>
      </c>
      <c r="H116" s="291">
        <f t="shared" si="62"/>
        <v>6304173.68</v>
      </c>
      <c r="I116" s="291">
        <f t="shared" si="62"/>
        <v>6305643.18</v>
      </c>
      <c r="J116" s="291">
        <f t="shared" si="62"/>
        <v>6305643.18</v>
      </c>
      <c r="K116" s="291">
        <f t="shared" si="62"/>
        <v>6305643.18</v>
      </c>
      <c r="L116" s="291">
        <f t="shared" si="62"/>
        <v>6305643.18</v>
      </c>
      <c r="M116" s="291">
        <f t="shared" si="62"/>
        <v>6334922.79</v>
      </c>
      <c r="N116" s="292">
        <f t="shared" si="58"/>
        <v>79505473.85</v>
      </c>
      <c r="O116" s="293" t="s">
        <v>62</v>
      </c>
      <c r="P116" s="52"/>
      <c r="Q116" s="52"/>
      <c r="R116" s="43"/>
      <c r="S116" s="43"/>
      <c r="T116" s="43"/>
    </row>
    <row r="117" ht="15.75" customHeight="1">
      <c r="A117" s="290" t="s">
        <v>69</v>
      </c>
      <c r="B117" s="291">
        <f t="shared" ref="B117:M117" si="63">B49</f>
        <v>1097573.31</v>
      </c>
      <c r="C117" s="291">
        <f t="shared" si="63"/>
        <v>1123830.72</v>
      </c>
      <c r="D117" s="291">
        <f t="shared" si="63"/>
        <v>1120727.74</v>
      </c>
      <c r="E117" s="291">
        <f t="shared" si="63"/>
        <v>2201848.48</v>
      </c>
      <c r="F117" s="291">
        <f t="shared" si="63"/>
        <v>1148467.09</v>
      </c>
      <c r="G117" s="291">
        <f t="shared" si="63"/>
        <v>1148467.08</v>
      </c>
      <c r="H117" s="291">
        <f t="shared" si="63"/>
        <v>1144056.91</v>
      </c>
      <c r="I117" s="291">
        <f t="shared" si="63"/>
        <v>1144056.91</v>
      </c>
      <c r="J117" s="291">
        <f t="shared" si="63"/>
        <v>1195389.16</v>
      </c>
      <c r="K117" s="291">
        <f t="shared" si="63"/>
        <v>1133038.62</v>
      </c>
      <c r="L117" s="291">
        <f t="shared" si="63"/>
        <v>1125060.06</v>
      </c>
      <c r="M117" s="291">
        <f t="shared" si="63"/>
        <v>1125060.06</v>
      </c>
      <c r="N117" s="292">
        <f t="shared" si="58"/>
        <v>14707576.14</v>
      </c>
      <c r="O117" s="293" t="s">
        <v>62</v>
      </c>
      <c r="P117" s="52"/>
      <c r="Q117" s="52"/>
      <c r="R117" s="43">
        <v>1.0</v>
      </c>
      <c r="S117" s="43"/>
      <c r="T117" s="43"/>
    </row>
    <row r="118" ht="15.75" customHeight="1">
      <c r="A118" s="290" t="s">
        <v>70</v>
      </c>
      <c r="B118" s="293" t="s">
        <v>62</v>
      </c>
      <c r="C118" s="293" t="s">
        <v>62</v>
      </c>
      <c r="D118" s="293" t="s">
        <v>62</v>
      </c>
      <c r="E118" s="293" t="s">
        <v>62</v>
      </c>
      <c r="F118" s="293" t="s">
        <v>62</v>
      </c>
      <c r="G118" s="293" t="s">
        <v>62</v>
      </c>
      <c r="H118" s="293" t="s">
        <v>62</v>
      </c>
      <c r="I118" s="293" t="s">
        <v>62</v>
      </c>
      <c r="J118" s="293" t="s">
        <v>62</v>
      </c>
      <c r="K118" s="293" t="s">
        <v>62</v>
      </c>
      <c r="L118" s="293" t="s">
        <v>62</v>
      </c>
      <c r="M118" s="293" t="s">
        <v>62</v>
      </c>
      <c r="N118" s="292">
        <f t="shared" si="58"/>
        <v>0</v>
      </c>
      <c r="O118" s="293" t="s">
        <v>62</v>
      </c>
      <c r="P118" s="52"/>
      <c r="Q118" s="52"/>
      <c r="R118" s="43">
        <v>11.0</v>
      </c>
      <c r="S118" s="43"/>
      <c r="T118" s="43"/>
    </row>
    <row r="119" ht="15.75" customHeight="1">
      <c r="A119" s="290" t="s">
        <v>71</v>
      </c>
      <c r="B119" s="293" t="s">
        <v>62</v>
      </c>
      <c r="C119" s="293" t="s">
        <v>62</v>
      </c>
      <c r="D119" s="293" t="s">
        <v>62</v>
      </c>
      <c r="E119" s="293" t="s">
        <v>62</v>
      </c>
      <c r="F119" s="293" t="s">
        <v>62</v>
      </c>
      <c r="G119" s="293" t="s">
        <v>62</v>
      </c>
      <c r="H119" s="293" t="s">
        <v>62</v>
      </c>
      <c r="I119" s="293" t="s">
        <v>62</v>
      </c>
      <c r="J119" s="293" t="s">
        <v>62</v>
      </c>
      <c r="K119" s="293" t="s">
        <v>62</v>
      </c>
      <c r="L119" s="293" t="s">
        <v>62</v>
      </c>
      <c r="M119" s="293" t="s">
        <v>62</v>
      </c>
      <c r="N119" s="292">
        <f t="shared" si="58"/>
        <v>0</v>
      </c>
      <c r="O119" s="293" t="s">
        <v>62</v>
      </c>
      <c r="P119" s="52"/>
      <c r="Q119" s="52"/>
      <c r="R119" s="43"/>
      <c r="S119" s="43"/>
      <c r="T119" s="43"/>
    </row>
    <row r="120" ht="15.75" customHeight="1">
      <c r="A120" s="284" t="s">
        <v>72</v>
      </c>
      <c r="B120" s="294">
        <f t="shared" ref="B120:M120" si="64">SUM(B121:B124)</f>
        <v>6576379.94</v>
      </c>
      <c r="C120" s="294">
        <f t="shared" si="64"/>
        <v>6650880.13</v>
      </c>
      <c r="D120" s="294">
        <f t="shared" si="64"/>
        <v>6642408.2</v>
      </c>
      <c r="E120" s="294">
        <f t="shared" si="64"/>
        <v>14767761.34</v>
      </c>
      <c r="F120" s="294">
        <f t="shared" si="64"/>
        <v>7431423.52</v>
      </c>
      <c r="G120" s="294">
        <f t="shared" si="64"/>
        <v>7431423.51</v>
      </c>
      <c r="H120" s="294">
        <f t="shared" si="64"/>
        <v>7448230.59</v>
      </c>
      <c r="I120" s="294">
        <f t="shared" si="64"/>
        <v>7449700.09</v>
      </c>
      <c r="J120" s="294">
        <f t="shared" si="64"/>
        <v>7501032.34</v>
      </c>
      <c r="K120" s="294">
        <f t="shared" si="64"/>
        <v>7438681.8</v>
      </c>
      <c r="L120" s="294">
        <f t="shared" si="64"/>
        <v>7430703.24</v>
      </c>
      <c r="M120" s="294">
        <f t="shared" si="64"/>
        <v>7459982.85</v>
      </c>
      <c r="N120" s="288">
        <f t="shared" si="58"/>
        <v>94228607.55</v>
      </c>
      <c r="O120" s="289" t="s">
        <v>62</v>
      </c>
      <c r="P120" s="52"/>
      <c r="Q120" s="52"/>
      <c r="R120" s="43"/>
      <c r="S120" s="43"/>
      <c r="T120" s="43"/>
    </row>
    <row r="121" ht="15.75" customHeight="1">
      <c r="A121" s="290" t="s">
        <v>73</v>
      </c>
      <c r="B121" s="293" t="s">
        <v>62</v>
      </c>
      <c r="C121" s="293" t="s">
        <v>62</v>
      </c>
      <c r="D121" s="293" t="s">
        <v>62</v>
      </c>
      <c r="E121" s="293" t="s">
        <v>62</v>
      </c>
      <c r="F121" s="293" t="s">
        <v>62</v>
      </c>
      <c r="G121" s="293" t="s">
        <v>62</v>
      </c>
      <c r="H121" s="293" t="s">
        <v>62</v>
      </c>
      <c r="I121" s="293" t="s">
        <v>62</v>
      </c>
      <c r="J121" s="293" t="s">
        <v>62</v>
      </c>
      <c r="K121" s="293" t="s">
        <v>62</v>
      </c>
      <c r="L121" s="293" t="s">
        <v>62</v>
      </c>
      <c r="M121" s="293" t="s">
        <v>62</v>
      </c>
      <c r="N121" s="292">
        <f t="shared" si="58"/>
        <v>0</v>
      </c>
      <c r="O121" s="293" t="s">
        <v>62</v>
      </c>
      <c r="P121" s="52"/>
      <c r="Q121" s="52"/>
      <c r="R121" s="43"/>
      <c r="S121" s="43"/>
      <c r="T121" s="43"/>
    </row>
    <row r="122" ht="15.75" customHeight="1">
      <c r="A122" s="290" t="s">
        <v>74</v>
      </c>
      <c r="B122" s="293" t="s">
        <v>62</v>
      </c>
      <c r="C122" s="293" t="s">
        <v>62</v>
      </c>
      <c r="D122" s="293" t="s">
        <v>62</v>
      </c>
      <c r="E122" s="293" t="s">
        <v>62</v>
      </c>
      <c r="F122" s="293" t="s">
        <v>62</v>
      </c>
      <c r="G122" s="293" t="s">
        <v>62</v>
      </c>
      <c r="H122" s="293" t="s">
        <v>62</v>
      </c>
      <c r="I122" s="293" t="s">
        <v>62</v>
      </c>
      <c r="J122" s="293" t="s">
        <v>62</v>
      </c>
      <c r="K122" s="293" t="s">
        <v>62</v>
      </c>
      <c r="L122" s="293" t="s">
        <v>62</v>
      </c>
      <c r="M122" s="293" t="s">
        <v>62</v>
      </c>
      <c r="N122" s="292">
        <f t="shared" si="58"/>
        <v>0</v>
      </c>
      <c r="O122" s="293" t="s">
        <v>62</v>
      </c>
      <c r="P122" s="52"/>
      <c r="Q122" s="52"/>
      <c r="R122" s="43"/>
      <c r="S122" s="43"/>
      <c r="T122" s="43"/>
    </row>
    <row r="123" ht="15.75" customHeight="1">
      <c r="A123" s="290" t="s">
        <v>75</v>
      </c>
      <c r="B123" s="291">
        <f t="shared" ref="B123:E123" si="65">B13</f>
        <v>13704.21</v>
      </c>
      <c r="C123" s="291">
        <f t="shared" si="65"/>
        <v>1695.6</v>
      </c>
      <c r="D123" s="291">
        <f t="shared" si="65"/>
        <v>157.75</v>
      </c>
      <c r="E123" s="291">
        <f t="shared" si="65"/>
        <v>0</v>
      </c>
      <c r="F123" s="295">
        <f>F13-4000.39</f>
        <v>0</v>
      </c>
      <c r="G123" s="291">
        <f t="shared" ref="G123:M123" si="66">G13</f>
        <v>0</v>
      </c>
      <c r="H123" s="291">
        <f t="shared" si="66"/>
        <v>0</v>
      </c>
      <c r="I123" s="291">
        <f t="shared" si="66"/>
        <v>0</v>
      </c>
      <c r="J123" s="291">
        <f t="shared" si="66"/>
        <v>0</v>
      </c>
      <c r="K123" s="291">
        <f t="shared" si="66"/>
        <v>0</v>
      </c>
      <c r="L123" s="291">
        <f t="shared" si="66"/>
        <v>0</v>
      </c>
      <c r="M123" s="291">
        <f t="shared" si="66"/>
        <v>0</v>
      </c>
      <c r="N123" s="292">
        <f t="shared" si="58"/>
        <v>15557.56</v>
      </c>
      <c r="O123" s="293" t="s">
        <v>62</v>
      </c>
      <c r="P123" s="52"/>
      <c r="Q123" s="52"/>
      <c r="R123" s="43"/>
      <c r="S123" s="43"/>
      <c r="T123" s="43"/>
    </row>
    <row r="124" ht="15.75" customHeight="1">
      <c r="A124" s="290" t="s">
        <v>76</v>
      </c>
      <c r="B124" s="296">
        <f t="shared" ref="B124:M124" si="67">B43+B49</f>
        <v>6562675.73</v>
      </c>
      <c r="C124" s="296">
        <f t="shared" si="67"/>
        <v>6649184.53</v>
      </c>
      <c r="D124" s="296">
        <f t="shared" si="67"/>
        <v>6642250.45</v>
      </c>
      <c r="E124" s="296">
        <f t="shared" si="67"/>
        <v>14767761.34</v>
      </c>
      <c r="F124" s="296">
        <f t="shared" si="67"/>
        <v>7431423.52</v>
      </c>
      <c r="G124" s="296">
        <f t="shared" si="67"/>
        <v>7431423.51</v>
      </c>
      <c r="H124" s="296">
        <f t="shared" si="67"/>
        <v>7448230.59</v>
      </c>
      <c r="I124" s="296">
        <f t="shared" si="67"/>
        <v>7449700.09</v>
      </c>
      <c r="J124" s="296">
        <f t="shared" si="67"/>
        <v>7501032.34</v>
      </c>
      <c r="K124" s="296">
        <f t="shared" si="67"/>
        <v>7438681.8</v>
      </c>
      <c r="L124" s="296">
        <f t="shared" si="67"/>
        <v>7430703.24</v>
      </c>
      <c r="M124" s="296">
        <f t="shared" si="67"/>
        <v>7459982.85</v>
      </c>
      <c r="N124" s="292">
        <f t="shared" si="58"/>
        <v>94213049.99</v>
      </c>
      <c r="O124" s="297" t="s">
        <v>62</v>
      </c>
      <c r="P124" s="52"/>
      <c r="Q124" s="52"/>
      <c r="R124" s="43"/>
      <c r="S124" s="43"/>
      <c r="T124" s="43"/>
    </row>
    <row r="125" ht="15.75" customHeight="1">
      <c r="A125" s="298" t="s">
        <v>77</v>
      </c>
      <c r="B125" s="287">
        <f t="shared" ref="B125:M125" si="68">B110-B120</f>
        <v>25349122.08</v>
      </c>
      <c r="C125" s="287">
        <f t="shared" si="68"/>
        <v>25074841.76</v>
      </c>
      <c r="D125" s="287">
        <f t="shared" si="68"/>
        <v>25038509.51</v>
      </c>
      <c r="E125" s="287">
        <f t="shared" si="68"/>
        <v>47396590.05</v>
      </c>
      <c r="F125" s="287">
        <f t="shared" si="68"/>
        <v>24004046.83</v>
      </c>
      <c r="G125" s="287">
        <f t="shared" si="68"/>
        <v>24007278.99</v>
      </c>
      <c r="H125" s="287">
        <f t="shared" si="68"/>
        <v>23992933.93</v>
      </c>
      <c r="I125" s="287">
        <f t="shared" si="68"/>
        <v>23948091.83</v>
      </c>
      <c r="J125" s="287">
        <f t="shared" si="68"/>
        <v>24002698.64</v>
      </c>
      <c r="K125" s="287">
        <f t="shared" si="68"/>
        <v>24030003.27</v>
      </c>
      <c r="L125" s="287">
        <f t="shared" si="68"/>
        <v>24026120.23</v>
      </c>
      <c r="M125" s="287">
        <f t="shared" si="68"/>
        <v>24160511.74</v>
      </c>
      <c r="N125" s="288">
        <f t="shared" si="58"/>
        <v>315030748.9</v>
      </c>
      <c r="O125" s="289" t="s">
        <v>62</v>
      </c>
      <c r="P125" s="52"/>
      <c r="Q125" s="52"/>
      <c r="R125" s="43"/>
      <c r="S125" s="43"/>
      <c r="T125" s="43"/>
    </row>
    <row r="126" ht="15.75" customHeight="1">
      <c r="A126" s="299"/>
      <c r="B126" s="299"/>
      <c r="C126" s="299"/>
      <c r="D126" s="299"/>
      <c r="E126" s="299"/>
      <c r="F126" s="299"/>
      <c r="G126" s="299"/>
      <c r="H126" s="299"/>
      <c r="I126" s="299"/>
      <c r="J126" s="299"/>
      <c r="K126" s="299"/>
      <c r="L126" s="299"/>
      <c r="M126" s="299"/>
      <c r="N126" s="52"/>
      <c r="O126" s="52"/>
      <c r="P126" s="52"/>
      <c r="Q126" s="52"/>
      <c r="R126" s="43"/>
      <c r="S126" s="43"/>
      <c r="T126" s="43"/>
    </row>
    <row r="127" ht="15.75" customHeight="1">
      <c r="A127" s="277"/>
      <c r="B127" s="300"/>
      <c r="C127" s="277"/>
      <c r="D127" s="277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43"/>
      <c r="S127" s="43"/>
      <c r="T127" s="43"/>
    </row>
    <row r="128" ht="15.75" customHeight="1">
      <c r="A128" s="301" t="s">
        <v>176</v>
      </c>
      <c r="B128" s="302" t="s">
        <v>79</v>
      </c>
      <c r="C128" s="111"/>
      <c r="D128" s="303" t="s">
        <v>80</v>
      </c>
      <c r="E128" s="304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43"/>
      <c r="S128" s="43"/>
      <c r="T128" s="43"/>
    </row>
    <row r="129" ht="15.75" customHeight="1">
      <c r="A129" s="298" t="s">
        <v>176</v>
      </c>
      <c r="B129" s="120"/>
      <c r="C129" s="111"/>
      <c r="D129" s="305"/>
      <c r="E129" s="306"/>
      <c r="F129" s="307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43"/>
      <c r="S129" s="43"/>
      <c r="T129" s="43"/>
    </row>
    <row r="130" ht="15.75" customHeight="1">
      <c r="A130" s="298" t="s">
        <v>81</v>
      </c>
      <c r="B130" s="308">
        <f t="shared" ref="B130:B131" si="69">C78</f>
        <v>26493989726</v>
      </c>
      <c r="C130" s="111"/>
      <c r="D130" s="305"/>
      <c r="E130" s="299"/>
      <c r="F130" s="307"/>
      <c r="G130" s="52"/>
      <c r="H130" s="52"/>
      <c r="I130" s="52"/>
      <c r="J130" s="52"/>
      <c r="K130" s="52"/>
      <c r="L130" s="309"/>
      <c r="M130" s="52"/>
      <c r="N130" s="309"/>
      <c r="O130" s="52"/>
      <c r="P130" s="52"/>
      <c r="Q130" s="52"/>
      <c r="R130" s="43"/>
      <c r="S130" s="43"/>
      <c r="T130" s="43"/>
    </row>
    <row r="131" ht="15.75" customHeight="1">
      <c r="A131" s="298" t="s">
        <v>82</v>
      </c>
      <c r="B131" s="308">
        <f t="shared" si="69"/>
        <v>21510682</v>
      </c>
      <c r="C131" s="111"/>
      <c r="D131" s="305"/>
      <c r="E131" s="306"/>
      <c r="F131" s="307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43"/>
      <c r="S131" s="43"/>
      <c r="T131" s="43"/>
    </row>
    <row r="132" ht="15.75" customHeight="1">
      <c r="A132" s="298" t="s">
        <v>83</v>
      </c>
      <c r="B132" s="308">
        <f>B130-B131</f>
        <v>26472479044</v>
      </c>
      <c r="C132" s="111"/>
      <c r="D132" s="305"/>
      <c r="E132" s="306"/>
      <c r="F132" s="307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43"/>
      <c r="S132" s="43"/>
      <c r="T132" s="43"/>
    </row>
    <row r="133" ht="15.75" customHeight="1">
      <c r="A133" s="298" t="s">
        <v>204</v>
      </c>
      <c r="B133" s="308">
        <f>N125</f>
        <v>315030748.9</v>
      </c>
      <c r="C133" s="111"/>
      <c r="D133" s="305">
        <f t="shared" ref="D133:D136" si="70">D82</f>
        <v>1.192505215</v>
      </c>
      <c r="E133" s="304"/>
      <c r="F133" s="307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43"/>
      <c r="S133" s="43"/>
      <c r="T133" s="43"/>
    </row>
    <row r="134" ht="15.75" customHeight="1">
      <c r="A134" s="298" t="s">
        <v>205</v>
      </c>
      <c r="B134" s="308">
        <f t="shared" ref="B134:B136" si="71">C83</f>
        <v>412113894.3</v>
      </c>
      <c r="C134" s="111"/>
      <c r="D134" s="305">
        <f t="shared" si="70"/>
        <v>1.56</v>
      </c>
      <c r="E134" s="304"/>
      <c r="F134" s="307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43"/>
      <c r="S134" s="43"/>
      <c r="T134" s="43"/>
    </row>
    <row r="135" ht="15.75" customHeight="1">
      <c r="A135" s="298" t="s">
        <v>206</v>
      </c>
      <c r="B135" s="308">
        <f t="shared" si="71"/>
        <v>391508199.6</v>
      </c>
      <c r="C135" s="111"/>
      <c r="D135" s="305">
        <f t="shared" si="70"/>
        <v>1.482</v>
      </c>
      <c r="E135" s="304"/>
      <c r="F135" s="307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43"/>
      <c r="S135" s="43"/>
      <c r="T135" s="43"/>
    </row>
    <row r="136" ht="15.75" customHeight="1">
      <c r="A136" s="298" t="s">
        <v>207</v>
      </c>
      <c r="B136" s="308">
        <f t="shared" si="71"/>
        <v>370902504.9</v>
      </c>
      <c r="C136" s="111"/>
      <c r="D136" s="305">
        <f t="shared" si="70"/>
        <v>1.404</v>
      </c>
      <c r="E136" s="304"/>
      <c r="F136" s="309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43"/>
      <c r="S136" s="43"/>
      <c r="T136" s="43"/>
    </row>
    <row r="137" ht="15.75" customHeight="1">
      <c r="A137" s="52"/>
      <c r="B137" s="52"/>
      <c r="C137" s="52"/>
      <c r="D137" s="52"/>
      <c r="E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43"/>
      <c r="S137" s="43"/>
      <c r="T137" s="43"/>
    </row>
    <row r="138" ht="15.75" customHeight="1">
      <c r="A138" s="310" t="s">
        <v>108</v>
      </c>
      <c r="B138" s="299"/>
      <c r="C138" s="299"/>
      <c r="D138" s="299"/>
      <c r="E138" s="299"/>
      <c r="F138" s="299"/>
      <c r="G138" s="299"/>
      <c r="H138" s="299"/>
      <c r="I138" s="299"/>
      <c r="J138" s="299"/>
      <c r="K138" s="299"/>
      <c r="L138" s="299"/>
      <c r="M138" s="299"/>
      <c r="N138" s="52"/>
      <c r="O138" s="52"/>
      <c r="P138" s="52"/>
      <c r="Q138" s="52"/>
      <c r="R138" s="43"/>
      <c r="S138" s="43"/>
      <c r="T138" s="43"/>
    </row>
    <row r="139" ht="15.75" customHeight="1">
      <c r="A139" s="310" t="s">
        <v>109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43"/>
      <c r="S139" s="43"/>
      <c r="T139" s="43"/>
    </row>
    <row r="140" ht="15.75" customHeight="1">
      <c r="A140" s="310" t="s">
        <v>110</v>
      </c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43"/>
      <c r="S140" s="43"/>
      <c r="T140" s="43"/>
    </row>
    <row r="141" ht="15.75" customHeight="1">
      <c r="A141" s="310" t="s">
        <v>111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43"/>
      <c r="S141" s="43"/>
      <c r="T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ht="15.75" customHeight="1">
      <c r="B145" s="187">
        <v>2.958436552E7</v>
      </c>
      <c r="C145" s="117">
        <v>3.317157375E7</v>
      </c>
      <c r="D145" s="117">
        <v>3.295926092E7</v>
      </c>
      <c r="E145" s="117">
        <v>3.2002719E7</v>
      </c>
      <c r="F145" s="117">
        <v>3.154745843E7</v>
      </c>
      <c r="G145" s="117">
        <v>3.139653771E7</v>
      </c>
      <c r="H145" s="117">
        <v>3.132055256E7</v>
      </c>
      <c r="I145" s="117">
        <v>6.167884049E7</v>
      </c>
      <c r="J145" s="117">
        <v>3.143547035E7</v>
      </c>
      <c r="K145" s="117">
        <v>3.14387025E7</v>
      </c>
      <c r="L145" s="117">
        <v>3.144116452E7</v>
      </c>
      <c r="M145" s="117">
        <v>3.139779192E7</v>
      </c>
      <c r="N145" s="117">
        <v>4.0937443767E8</v>
      </c>
      <c r="O145" s="43"/>
      <c r="P145" s="43"/>
      <c r="Q145" s="43"/>
      <c r="R145" s="43"/>
      <c r="S145" s="43"/>
      <c r="T145" s="43"/>
    </row>
    <row r="146" ht="15.75" customHeight="1">
      <c r="B146" s="187">
        <v>2.32516867E7</v>
      </c>
      <c r="C146" s="117">
        <v>2.651386634E7</v>
      </c>
      <c r="D146" s="117">
        <v>2.644779265E7</v>
      </c>
      <c r="E146" s="117">
        <v>2.543442083E7</v>
      </c>
      <c r="F146" s="117">
        <v>2.49847827E7</v>
      </c>
      <c r="G146" s="117">
        <v>2.474735318E7</v>
      </c>
      <c r="H146" s="117">
        <v>2.467830211E7</v>
      </c>
      <c r="I146" s="117">
        <v>4.691107915E7</v>
      </c>
      <c r="J146" s="117">
        <v>2.400404683E7</v>
      </c>
      <c r="K146" s="117">
        <v>2.400727899E7</v>
      </c>
      <c r="L146" s="117">
        <v>2.399293393E7</v>
      </c>
      <c r="M146" s="117">
        <v>2.394809183E7</v>
      </c>
      <c r="N146" s="117">
        <v>3.1892163524E8</v>
      </c>
      <c r="O146" s="43"/>
      <c r="P146" s="43"/>
      <c r="Q146" s="43"/>
      <c r="R146" s="43"/>
      <c r="S146" s="43"/>
      <c r="T146" s="43"/>
    </row>
    <row r="147" ht="15.75" customHeight="1">
      <c r="B147" s="187">
        <v>1.834858197E7</v>
      </c>
      <c r="C147" s="117">
        <v>2.092011749E7</v>
      </c>
      <c r="D147" s="117">
        <v>2.120006085E7</v>
      </c>
      <c r="E147" s="117">
        <v>2.02068565E7</v>
      </c>
      <c r="F147" s="117">
        <v>1.974912728E7</v>
      </c>
      <c r="G147" s="117">
        <v>1.953369093E7</v>
      </c>
      <c r="H147" s="117">
        <v>1.947676615E7</v>
      </c>
      <c r="I147" s="117">
        <v>3.70036494E7</v>
      </c>
      <c r="J147" s="117">
        <v>1.900712711E7</v>
      </c>
      <c r="K147" s="117">
        <v>1.900958456E7</v>
      </c>
      <c r="L147" s="117">
        <v>1.89964147E7</v>
      </c>
      <c r="M147" s="117">
        <v>1.896141753E7</v>
      </c>
      <c r="N147" s="117">
        <v>2.5241339447E8</v>
      </c>
      <c r="O147" s="43"/>
      <c r="P147" s="43"/>
      <c r="Q147" s="43"/>
      <c r="R147" s="43"/>
      <c r="S147" s="43"/>
      <c r="T147" s="43"/>
    </row>
    <row r="148" ht="15.75" customHeight="1">
      <c r="B148" s="187">
        <v>4903104.73</v>
      </c>
      <c r="C148" s="117">
        <v>5593748.85</v>
      </c>
      <c r="D148" s="117">
        <v>5247731.8</v>
      </c>
      <c r="E148" s="117">
        <v>5227564.33</v>
      </c>
      <c r="F148" s="117">
        <v>5235655.42</v>
      </c>
      <c r="G148" s="117">
        <v>5213662.25</v>
      </c>
      <c r="H148" s="117">
        <v>5201535.96</v>
      </c>
      <c r="I148" s="117">
        <v>9907429.75</v>
      </c>
      <c r="J148" s="117">
        <v>4996919.72</v>
      </c>
      <c r="K148" s="117">
        <v>4997694.43</v>
      </c>
      <c r="L148" s="117">
        <v>4996519.23</v>
      </c>
      <c r="M148" s="117">
        <v>4986674.3</v>
      </c>
      <c r="N148" s="117">
        <v>6.650824077E7</v>
      </c>
      <c r="O148" s="43"/>
      <c r="P148" s="43"/>
      <c r="Q148" s="43"/>
      <c r="R148" s="43"/>
      <c r="S148" s="43"/>
      <c r="T148" s="43"/>
    </row>
    <row r="149" ht="15.75" customHeight="1">
      <c r="A149" s="43"/>
      <c r="B149" s="43">
        <v>0.0</v>
      </c>
      <c r="C149" s="43">
        <v>0.0</v>
      </c>
      <c r="D149" s="43">
        <v>0.0</v>
      </c>
      <c r="E149" s="43">
        <v>0.0</v>
      </c>
      <c r="F149" s="43">
        <v>0.0</v>
      </c>
      <c r="G149" s="43">
        <v>0.0</v>
      </c>
      <c r="H149" s="43">
        <v>0.0</v>
      </c>
      <c r="I149" s="43">
        <v>0.0</v>
      </c>
      <c r="J149" s="43">
        <v>0.0</v>
      </c>
      <c r="K149" s="43">
        <v>0.0</v>
      </c>
      <c r="L149" s="43">
        <v>0.0</v>
      </c>
      <c r="M149" s="43">
        <v>0.0</v>
      </c>
      <c r="N149" s="43">
        <v>0.0</v>
      </c>
      <c r="O149" s="43"/>
      <c r="P149" s="43"/>
      <c r="Q149" s="43"/>
      <c r="R149" s="43"/>
      <c r="S149" s="43"/>
      <c r="T149" s="43"/>
    </row>
    <row r="150" ht="15.75" customHeight="1">
      <c r="A150" s="43"/>
      <c r="B150" s="117">
        <v>6332678.82</v>
      </c>
      <c r="C150" s="117">
        <v>6657707.41</v>
      </c>
      <c r="D150" s="117">
        <v>6511468.27</v>
      </c>
      <c r="E150" s="117">
        <v>6568298.17</v>
      </c>
      <c r="F150" s="117">
        <v>6562675.73</v>
      </c>
      <c r="G150" s="117">
        <v>6649184.53</v>
      </c>
      <c r="H150" s="117">
        <v>6642250.45</v>
      </c>
      <c r="I150" s="117">
        <v>1.476776134E7</v>
      </c>
      <c r="J150" s="117">
        <v>7431423.52</v>
      </c>
      <c r="K150" s="117">
        <v>7431423.51</v>
      </c>
      <c r="L150" s="117">
        <v>7448230.59</v>
      </c>
      <c r="M150" s="117">
        <v>7449700.09</v>
      </c>
      <c r="N150" s="117">
        <v>9.045280243E7</v>
      </c>
      <c r="O150" s="43"/>
      <c r="P150" s="43"/>
      <c r="Q150" s="43"/>
      <c r="R150" s="43"/>
      <c r="S150" s="43"/>
      <c r="T150" s="43"/>
    </row>
    <row r="151" ht="15.75" customHeight="1">
      <c r="A151" s="43"/>
      <c r="B151" s="117">
        <v>5250785.3</v>
      </c>
      <c r="C151" s="117">
        <v>5585187.4</v>
      </c>
      <c r="D151" s="117">
        <v>5429640.2</v>
      </c>
      <c r="E151" s="117">
        <v>5465102.42</v>
      </c>
      <c r="F151" s="117">
        <v>5465102.42</v>
      </c>
      <c r="G151" s="117">
        <v>5525353.81</v>
      </c>
      <c r="H151" s="117">
        <v>5521522.71</v>
      </c>
      <c r="I151" s="117">
        <v>1.256591286E7</v>
      </c>
      <c r="J151" s="117">
        <v>6282956.43</v>
      </c>
      <c r="K151" s="117">
        <v>6282956.43</v>
      </c>
      <c r="L151" s="117">
        <v>6304173.68</v>
      </c>
      <c r="M151" s="117">
        <v>6305643.18</v>
      </c>
      <c r="N151" s="117">
        <v>7.598433684E7</v>
      </c>
      <c r="O151" s="43"/>
      <c r="P151" s="43"/>
      <c r="Q151" s="43"/>
      <c r="R151" s="43"/>
      <c r="S151" s="43"/>
      <c r="T151" s="43"/>
    </row>
    <row r="152" ht="15.75" customHeight="1">
      <c r="A152" s="43"/>
      <c r="B152" s="117">
        <v>1081893.52</v>
      </c>
      <c r="C152" s="117">
        <v>1072520.01</v>
      </c>
      <c r="D152" s="117">
        <v>1081828.07</v>
      </c>
      <c r="E152" s="117">
        <v>1103195.75</v>
      </c>
      <c r="F152" s="117">
        <v>1097573.31</v>
      </c>
      <c r="G152" s="117">
        <v>1123830.72</v>
      </c>
      <c r="H152" s="117">
        <v>1120727.74</v>
      </c>
      <c r="I152" s="117">
        <v>2201848.48</v>
      </c>
      <c r="J152" s="117">
        <v>1148467.09</v>
      </c>
      <c r="K152" s="117">
        <v>1148467.08</v>
      </c>
      <c r="L152" s="117">
        <v>1144056.91</v>
      </c>
      <c r="M152" s="117">
        <v>1144056.91</v>
      </c>
      <c r="N152" s="117">
        <v>1.446846559E7</v>
      </c>
      <c r="O152" s="43"/>
      <c r="P152" s="43"/>
      <c r="Q152" s="43"/>
      <c r="R152" s="43"/>
      <c r="S152" s="43"/>
      <c r="T152" s="43"/>
    </row>
    <row r="153" ht="15.75" customHeight="1">
      <c r="A153" s="43"/>
      <c r="B153" s="43">
        <v>0.0</v>
      </c>
      <c r="C153" s="43">
        <v>0.0</v>
      </c>
      <c r="D153" s="43">
        <v>0.0</v>
      </c>
      <c r="E153" s="43">
        <v>0.0</v>
      </c>
      <c r="F153" s="43">
        <v>0.0</v>
      </c>
      <c r="G153" s="43">
        <v>0.0</v>
      </c>
      <c r="H153" s="43">
        <v>0.0</v>
      </c>
      <c r="I153" s="43">
        <v>0.0</v>
      </c>
      <c r="J153" s="43">
        <v>0.0</v>
      </c>
      <c r="K153" s="43">
        <v>0.0</v>
      </c>
      <c r="L153" s="43">
        <v>0.0</v>
      </c>
      <c r="M153" s="43">
        <v>0.0</v>
      </c>
      <c r="N153" s="43">
        <v>0.0</v>
      </c>
      <c r="O153" s="43"/>
      <c r="P153" s="43"/>
      <c r="Q153" s="43"/>
      <c r="R153" s="43"/>
      <c r="S153" s="43"/>
      <c r="T153" s="43"/>
    </row>
    <row r="154" ht="15.75" customHeight="1">
      <c r="A154" s="43"/>
      <c r="B154" s="43">
        <v>0.0</v>
      </c>
      <c r="C154" s="43">
        <v>0.0</v>
      </c>
      <c r="D154" s="43">
        <v>0.0</v>
      </c>
      <c r="E154" s="43">
        <v>0.0</v>
      </c>
      <c r="F154" s="43">
        <v>0.0</v>
      </c>
      <c r="G154" s="43">
        <v>0.0</v>
      </c>
      <c r="H154" s="43">
        <v>0.0</v>
      </c>
      <c r="I154" s="43">
        <v>0.0</v>
      </c>
      <c r="J154" s="43">
        <v>0.0</v>
      </c>
      <c r="K154" s="43">
        <v>0.0</v>
      </c>
      <c r="L154" s="43">
        <v>0.0</v>
      </c>
      <c r="M154" s="43">
        <v>0.0</v>
      </c>
      <c r="N154" s="43">
        <v>0.0</v>
      </c>
      <c r="O154" s="43"/>
      <c r="P154" s="43"/>
      <c r="Q154" s="43"/>
      <c r="R154" s="43"/>
      <c r="S154" s="43"/>
      <c r="T154" s="43"/>
    </row>
    <row r="155" ht="15.75" customHeight="1">
      <c r="A155" s="43"/>
      <c r="B155" s="117">
        <v>6332678.82</v>
      </c>
      <c r="C155" s="117">
        <v>6657707.41</v>
      </c>
      <c r="D155" s="117">
        <v>6523941.09</v>
      </c>
      <c r="E155" s="117">
        <v>6568298.17</v>
      </c>
      <c r="F155" s="117">
        <v>6576379.94</v>
      </c>
      <c r="G155" s="117">
        <v>6650880.13</v>
      </c>
      <c r="H155" s="117">
        <v>6642408.2</v>
      </c>
      <c r="I155" s="117">
        <v>1.476776134E7</v>
      </c>
      <c r="J155" s="117">
        <v>7431423.52</v>
      </c>
      <c r="K155" s="117">
        <v>7431423.51</v>
      </c>
      <c r="L155" s="117">
        <v>7448230.59</v>
      </c>
      <c r="M155" s="117">
        <v>7449700.09</v>
      </c>
      <c r="N155" s="117">
        <v>9.048083281E7</v>
      </c>
      <c r="O155" s="43"/>
      <c r="P155" s="43"/>
      <c r="Q155" s="43"/>
      <c r="R155" s="43"/>
      <c r="S155" s="43"/>
      <c r="T155" s="43"/>
    </row>
    <row r="156" ht="15.75" customHeight="1">
      <c r="A156" s="43"/>
      <c r="B156" s="43">
        <v>0.0</v>
      </c>
      <c r="C156" s="43">
        <v>0.0</v>
      </c>
      <c r="D156" s="43">
        <v>0.0</v>
      </c>
      <c r="E156" s="43">
        <v>0.0</v>
      </c>
      <c r="F156" s="43">
        <v>0.0</v>
      </c>
      <c r="G156" s="43">
        <v>0.0</v>
      </c>
      <c r="H156" s="43">
        <v>0.0</v>
      </c>
      <c r="I156" s="43">
        <v>0.0</v>
      </c>
      <c r="J156" s="43">
        <v>0.0</v>
      </c>
      <c r="K156" s="43">
        <v>0.0</v>
      </c>
      <c r="L156" s="43">
        <v>0.0</v>
      </c>
      <c r="M156" s="43">
        <v>0.0</v>
      </c>
      <c r="N156" s="43">
        <v>0.0</v>
      </c>
      <c r="O156" s="43"/>
      <c r="P156" s="43"/>
      <c r="Q156" s="43"/>
      <c r="R156" s="43"/>
      <c r="S156" s="43"/>
      <c r="T156" s="43"/>
    </row>
    <row r="157" ht="15.75" customHeight="1">
      <c r="A157" s="43"/>
      <c r="B157" s="43">
        <v>0.0</v>
      </c>
      <c r="C157" s="43">
        <v>0.0</v>
      </c>
      <c r="D157" s="43">
        <v>0.0</v>
      </c>
      <c r="E157" s="43">
        <v>0.0</v>
      </c>
      <c r="F157" s="43">
        <v>0.0</v>
      </c>
      <c r="G157" s="43">
        <v>0.0</v>
      </c>
      <c r="H157" s="43">
        <v>0.0</v>
      </c>
      <c r="I157" s="43">
        <v>0.0</v>
      </c>
      <c r="J157" s="43">
        <v>0.0</v>
      </c>
      <c r="K157" s="43">
        <v>0.0</v>
      </c>
      <c r="L157" s="43">
        <v>0.0</v>
      </c>
      <c r="M157" s="43">
        <v>0.0</v>
      </c>
      <c r="N157" s="43">
        <v>0.0</v>
      </c>
      <c r="O157" s="43"/>
      <c r="P157" s="43"/>
      <c r="Q157" s="43"/>
      <c r="R157" s="43"/>
      <c r="S157" s="43"/>
      <c r="T157" s="43"/>
    </row>
    <row r="158" ht="15.75" customHeight="1">
      <c r="A158" s="43"/>
      <c r="B158" s="43">
        <v>0.0</v>
      </c>
      <c r="C158" s="43">
        <v>0.0</v>
      </c>
      <c r="D158" s="117">
        <v>12472.82</v>
      </c>
      <c r="E158" s="43">
        <v>0.0</v>
      </c>
      <c r="F158" s="117">
        <v>13704.21</v>
      </c>
      <c r="G158" s="117">
        <v>1695.6</v>
      </c>
      <c r="H158" s="43">
        <v>157.75</v>
      </c>
      <c r="I158" s="43">
        <v>0.0</v>
      </c>
      <c r="J158" s="43">
        <v>0.0</v>
      </c>
      <c r="K158" s="43">
        <v>0.0</v>
      </c>
      <c r="L158" s="43">
        <v>0.0</v>
      </c>
      <c r="M158" s="43">
        <v>0.0</v>
      </c>
      <c r="N158" s="117">
        <v>28030.38</v>
      </c>
      <c r="O158" s="43"/>
      <c r="P158" s="43"/>
      <c r="Q158" s="43"/>
      <c r="R158" s="43"/>
      <c r="S158" s="43"/>
      <c r="T158" s="43"/>
    </row>
    <row r="159" ht="15.75" customHeight="1">
      <c r="A159" s="43"/>
      <c r="B159" s="117">
        <v>6332678.82</v>
      </c>
      <c r="C159" s="117">
        <v>6657707.41</v>
      </c>
      <c r="D159" s="117">
        <v>6511468.27</v>
      </c>
      <c r="E159" s="117">
        <v>6568298.17</v>
      </c>
      <c r="F159" s="117">
        <v>6562675.73</v>
      </c>
      <c r="G159" s="117">
        <v>6649184.53</v>
      </c>
      <c r="H159" s="117">
        <v>6642250.45</v>
      </c>
      <c r="I159" s="117">
        <v>1.476776134E7</v>
      </c>
      <c r="J159" s="117">
        <v>7431423.52</v>
      </c>
      <c r="K159" s="117">
        <v>7431423.51</v>
      </c>
      <c r="L159" s="117">
        <v>7448230.59</v>
      </c>
      <c r="M159" s="117">
        <v>7449700.09</v>
      </c>
      <c r="N159" s="117">
        <v>9.045280243E7</v>
      </c>
      <c r="O159" s="43"/>
      <c r="P159" s="43"/>
      <c r="Q159" s="43"/>
      <c r="R159" s="43"/>
      <c r="S159" s="43"/>
      <c r="T159" s="43"/>
    </row>
    <row r="160" ht="15.75" customHeight="1">
      <c r="A160" s="43"/>
      <c r="B160" s="117">
        <v>2.32516867E7</v>
      </c>
      <c r="C160" s="117">
        <v>2.651386634E7</v>
      </c>
      <c r="D160" s="117">
        <v>2.643531983E7</v>
      </c>
      <c r="E160" s="117">
        <v>2.543442083E7</v>
      </c>
      <c r="F160" s="117">
        <v>2.497107849E7</v>
      </c>
      <c r="G160" s="117">
        <v>2.474565758E7</v>
      </c>
      <c r="H160" s="117">
        <v>2.467814436E7</v>
      </c>
      <c r="I160" s="117">
        <v>4.691107915E7</v>
      </c>
      <c r="J160" s="117">
        <v>2.400404683E7</v>
      </c>
      <c r="K160" s="117">
        <v>2.400727899E7</v>
      </c>
      <c r="L160" s="117">
        <v>2.399293393E7</v>
      </c>
      <c r="M160" s="117">
        <v>2.394809183E7</v>
      </c>
      <c r="N160" s="117">
        <v>3.1889360486E8</v>
      </c>
      <c r="O160" s="43"/>
      <c r="P160" s="43"/>
      <c r="Q160" s="43"/>
      <c r="R160" s="43"/>
      <c r="S160" s="43"/>
      <c r="T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ht="15.75" customHeight="1">
      <c r="A162" s="43"/>
      <c r="B162" s="119">
        <f t="shared" ref="B162:N162" si="72">B110-B145</f>
        <v>2341136.5</v>
      </c>
      <c r="C162" s="119">
        <f t="shared" si="72"/>
        <v>-1445851.86</v>
      </c>
      <c r="D162" s="119">
        <f t="shared" si="72"/>
        <v>-1278343.21</v>
      </c>
      <c r="E162" s="119">
        <f t="shared" si="72"/>
        <v>30161632.39</v>
      </c>
      <c r="F162" s="119">
        <f t="shared" si="72"/>
        <v>-111988.08</v>
      </c>
      <c r="G162" s="119">
        <f t="shared" si="72"/>
        <v>42164.79</v>
      </c>
      <c r="H162" s="119">
        <f t="shared" si="72"/>
        <v>120611.96</v>
      </c>
      <c r="I162" s="119">
        <f t="shared" si="72"/>
        <v>-30281048.57</v>
      </c>
      <c r="J162" s="119">
        <f t="shared" si="72"/>
        <v>68260.63</v>
      </c>
      <c r="K162" s="119">
        <f t="shared" si="72"/>
        <v>29982.57</v>
      </c>
      <c r="L162" s="119">
        <f t="shared" si="72"/>
        <v>15658.95</v>
      </c>
      <c r="M162" s="119">
        <f t="shared" si="72"/>
        <v>222702.67</v>
      </c>
      <c r="N162" s="119">
        <f t="shared" si="72"/>
        <v>-115081.26</v>
      </c>
      <c r="O162" s="43"/>
      <c r="P162" s="43"/>
      <c r="Q162" s="43"/>
      <c r="R162" s="43"/>
      <c r="S162" s="43"/>
      <c r="T162" s="43"/>
    </row>
    <row r="163" ht="15.75" customHeight="1">
      <c r="A163" s="43"/>
      <c r="B163" s="119">
        <f t="shared" ref="B163:N163" si="73">B111-B146</f>
        <v>2111139.59</v>
      </c>
      <c r="C163" s="119">
        <f t="shared" si="73"/>
        <v>-1437328.98</v>
      </c>
      <c r="D163" s="119">
        <f t="shared" si="73"/>
        <v>-1409125.39</v>
      </c>
      <c r="E163" s="119">
        <f t="shared" si="73"/>
        <v>21962169.22</v>
      </c>
      <c r="F163" s="119">
        <f t="shared" si="73"/>
        <v>-980735.87</v>
      </c>
      <c r="G163" s="119">
        <f t="shared" si="73"/>
        <v>-740074.19</v>
      </c>
      <c r="H163" s="119">
        <f t="shared" si="73"/>
        <v>-685368.18</v>
      </c>
      <c r="I163" s="119">
        <f t="shared" si="73"/>
        <v>-22962987.32</v>
      </c>
      <c r="J163" s="119">
        <f t="shared" si="73"/>
        <v>-1348.19</v>
      </c>
      <c r="K163" s="119">
        <f t="shared" si="73"/>
        <v>22724.28</v>
      </c>
      <c r="L163" s="119">
        <f t="shared" si="73"/>
        <v>33186.3</v>
      </c>
      <c r="M163" s="119">
        <f t="shared" si="73"/>
        <v>212419.91</v>
      </c>
      <c r="N163" s="117">
        <f t="shared" si="73"/>
        <v>-3875328.82</v>
      </c>
      <c r="O163" s="43"/>
      <c r="P163" s="43"/>
      <c r="Q163" s="43"/>
      <c r="R163" s="43"/>
      <c r="S163" s="43"/>
      <c r="T163" s="43"/>
    </row>
    <row r="164" ht="15.75" customHeight="1">
      <c r="A164" s="43"/>
      <c r="B164" s="119">
        <f t="shared" ref="B164:N164" si="74">B112-B147</f>
        <v>1778588.9</v>
      </c>
      <c r="C164" s="119">
        <f t="shared" si="74"/>
        <v>-1057242.38</v>
      </c>
      <c r="D164" s="119">
        <f t="shared" si="74"/>
        <v>-1362929.55</v>
      </c>
      <c r="E164" s="119">
        <f t="shared" si="74"/>
        <v>17282303.8</v>
      </c>
      <c r="F164" s="119">
        <f t="shared" si="74"/>
        <v>-742000.17</v>
      </c>
      <c r="G164" s="119">
        <f t="shared" si="74"/>
        <v>-524106.37</v>
      </c>
      <c r="H164" s="119">
        <f t="shared" si="74"/>
        <v>-480351.45</v>
      </c>
      <c r="I164" s="119">
        <f t="shared" si="74"/>
        <v>-18042231.87</v>
      </c>
      <c r="J164" s="119">
        <f t="shared" si="74"/>
        <v>-323.74</v>
      </c>
      <c r="K164" s="119">
        <f t="shared" si="74"/>
        <v>21609.77</v>
      </c>
      <c r="L164" s="119">
        <f t="shared" si="74"/>
        <v>31204.22</v>
      </c>
      <c r="M164" s="119">
        <f t="shared" si="74"/>
        <v>34016.12</v>
      </c>
      <c r="N164" s="117">
        <f t="shared" si="74"/>
        <v>-3061462.72</v>
      </c>
      <c r="O164" s="43"/>
      <c r="P164" s="43"/>
      <c r="Q164" s="43"/>
      <c r="R164" s="43"/>
      <c r="S164" s="43"/>
      <c r="T164" s="43"/>
    </row>
    <row r="165" ht="15.75" customHeight="1">
      <c r="A165" s="43"/>
      <c r="B165" s="119">
        <f t="shared" ref="B165:N165" si="75">B113-B148</f>
        <v>332550.69</v>
      </c>
      <c r="C165" s="119">
        <f t="shared" si="75"/>
        <v>-380086.6</v>
      </c>
      <c r="D165" s="119">
        <f t="shared" si="75"/>
        <v>-46195.84</v>
      </c>
      <c r="E165" s="119">
        <f t="shared" si="75"/>
        <v>4679865.42</v>
      </c>
      <c r="F165" s="119">
        <f t="shared" si="75"/>
        <v>-238735.7</v>
      </c>
      <c r="G165" s="119">
        <f t="shared" si="75"/>
        <v>-215967.82</v>
      </c>
      <c r="H165" s="119">
        <f t="shared" si="75"/>
        <v>-205016.73</v>
      </c>
      <c r="I165" s="119">
        <f t="shared" si="75"/>
        <v>-4920755.45</v>
      </c>
      <c r="J165" s="119">
        <f t="shared" si="75"/>
        <v>-1024.45</v>
      </c>
      <c r="K165" s="119">
        <f t="shared" si="75"/>
        <v>1114.51</v>
      </c>
      <c r="L165" s="119">
        <f t="shared" si="75"/>
        <v>1982.08</v>
      </c>
      <c r="M165" s="119">
        <f t="shared" si="75"/>
        <v>178403.79</v>
      </c>
      <c r="N165" s="117">
        <f t="shared" si="75"/>
        <v>-813866.1</v>
      </c>
      <c r="O165" s="43"/>
      <c r="P165" s="43"/>
      <c r="Q165" s="43"/>
      <c r="R165" s="43"/>
      <c r="S165" s="43"/>
      <c r="T165" s="43"/>
    </row>
    <row r="166" ht="15.75" customHeight="1">
      <c r="A166" s="43"/>
      <c r="B166" s="43">
        <f t="shared" ref="B166:N166" si="76">B114-B149</f>
        <v>0</v>
      </c>
      <c r="C166" s="43">
        <f t="shared" si="76"/>
        <v>0</v>
      </c>
      <c r="D166" s="43">
        <f t="shared" si="76"/>
        <v>0</v>
      </c>
      <c r="E166" s="43">
        <f t="shared" si="76"/>
        <v>0</v>
      </c>
      <c r="F166" s="43">
        <f t="shared" si="76"/>
        <v>0</v>
      </c>
      <c r="G166" s="43">
        <f t="shared" si="76"/>
        <v>0</v>
      </c>
      <c r="H166" s="43">
        <f t="shared" si="76"/>
        <v>0</v>
      </c>
      <c r="I166" s="43">
        <f t="shared" si="76"/>
        <v>0</v>
      </c>
      <c r="J166" s="43">
        <f t="shared" si="76"/>
        <v>0</v>
      </c>
      <c r="K166" s="43">
        <f t="shared" si="76"/>
        <v>0</v>
      </c>
      <c r="L166" s="43">
        <f t="shared" si="76"/>
        <v>0</v>
      </c>
      <c r="M166" s="43">
        <f t="shared" si="76"/>
        <v>0</v>
      </c>
      <c r="N166" s="117">
        <f t="shared" si="76"/>
        <v>0</v>
      </c>
      <c r="O166" s="43"/>
      <c r="P166" s="43"/>
      <c r="Q166" s="43"/>
      <c r="R166" s="43"/>
      <c r="S166" s="43"/>
      <c r="T166" s="43"/>
    </row>
    <row r="167" ht="15.75" customHeight="1">
      <c r="A167" s="43"/>
      <c r="B167" s="119">
        <f t="shared" ref="B167:N167" si="77">B115-B150</f>
        <v>229996.91</v>
      </c>
      <c r="C167" s="119">
        <f t="shared" si="77"/>
        <v>-8522.88</v>
      </c>
      <c r="D167" s="119">
        <f t="shared" si="77"/>
        <v>130782.18</v>
      </c>
      <c r="E167" s="119">
        <f t="shared" si="77"/>
        <v>8199463.17</v>
      </c>
      <c r="F167" s="119">
        <f t="shared" si="77"/>
        <v>868747.79</v>
      </c>
      <c r="G167" s="119">
        <f t="shared" si="77"/>
        <v>782238.98</v>
      </c>
      <c r="H167" s="119">
        <f t="shared" si="77"/>
        <v>805980.14</v>
      </c>
      <c r="I167" s="119">
        <f t="shared" si="77"/>
        <v>-7318061.25</v>
      </c>
      <c r="J167" s="119">
        <f t="shared" si="77"/>
        <v>69608.82</v>
      </c>
      <c r="K167" s="119">
        <f t="shared" si="77"/>
        <v>7258.29</v>
      </c>
      <c r="L167" s="119">
        <f t="shared" si="77"/>
        <v>-17527.35</v>
      </c>
      <c r="M167" s="119">
        <f t="shared" si="77"/>
        <v>10282.76</v>
      </c>
      <c r="N167" s="117">
        <f t="shared" si="77"/>
        <v>3760247.56</v>
      </c>
      <c r="O167" s="43"/>
      <c r="P167" s="43"/>
      <c r="Q167" s="43"/>
      <c r="R167" s="43"/>
      <c r="S167" s="43"/>
      <c r="T167" s="43"/>
    </row>
    <row r="168" ht="15.75" customHeight="1">
      <c r="A168" s="43"/>
      <c r="B168" s="119">
        <f t="shared" ref="B168:N168" si="78">B116-B151</f>
        <v>214317.12</v>
      </c>
      <c r="C168" s="119">
        <f t="shared" si="78"/>
        <v>-59833.59</v>
      </c>
      <c r="D168" s="119">
        <f t="shared" si="78"/>
        <v>91882.51</v>
      </c>
      <c r="E168" s="119">
        <f t="shared" si="78"/>
        <v>7100810.44</v>
      </c>
      <c r="F168" s="119">
        <f t="shared" si="78"/>
        <v>817854.01</v>
      </c>
      <c r="G168" s="119">
        <f t="shared" si="78"/>
        <v>757602.62</v>
      </c>
      <c r="H168" s="119">
        <f t="shared" si="78"/>
        <v>782650.97</v>
      </c>
      <c r="I168" s="119">
        <f t="shared" si="78"/>
        <v>-6260269.68</v>
      </c>
      <c r="J168" s="119">
        <f t="shared" si="78"/>
        <v>22686.75</v>
      </c>
      <c r="K168" s="119">
        <f t="shared" si="78"/>
        <v>22686.75</v>
      </c>
      <c r="L168" s="119">
        <f t="shared" si="78"/>
        <v>1469.5</v>
      </c>
      <c r="M168" s="119">
        <f t="shared" si="78"/>
        <v>29279.61</v>
      </c>
      <c r="N168" s="117">
        <f t="shared" si="78"/>
        <v>3521137.01</v>
      </c>
      <c r="O168" s="43"/>
      <c r="P168" s="43"/>
      <c r="Q168" s="43"/>
      <c r="R168" s="43"/>
      <c r="S168" s="43"/>
      <c r="T168" s="43"/>
    </row>
    <row r="169" ht="15.75" customHeight="1">
      <c r="A169" s="43"/>
      <c r="B169" s="119">
        <f t="shared" ref="B169:N169" si="79">B117-B152</f>
        <v>15679.79</v>
      </c>
      <c r="C169" s="119">
        <f t="shared" si="79"/>
        <v>51310.71</v>
      </c>
      <c r="D169" s="119">
        <f t="shared" si="79"/>
        <v>38899.67</v>
      </c>
      <c r="E169" s="119">
        <f t="shared" si="79"/>
        <v>1098652.73</v>
      </c>
      <c r="F169" s="119">
        <f t="shared" si="79"/>
        <v>50893.78</v>
      </c>
      <c r="G169" s="119">
        <f t="shared" si="79"/>
        <v>24636.36</v>
      </c>
      <c r="H169" s="119">
        <f t="shared" si="79"/>
        <v>23329.17</v>
      </c>
      <c r="I169" s="119">
        <f t="shared" si="79"/>
        <v>-1057791.57</v>
      </c>
      <c r="J169" s="119">
        <f t="shared" si="79"/>
        <v>46922.07</v>
      </c>
      <c r="K169" s="119">
        <f t="shared" si="79"/>
        <v>-15428.46</v>
      </c>
      <c r="L169" s="119">
        <f t="shared" si="79"/>
        <v>-18996.85</v>
      </c>
      <c r="M169" s="119">
        <f t="shared" si="79"/>
        <v>-18996.85</v>
      </c>
      <c r="N169" s="117">
        <f t="shared" si="79"/>
        <v>239110.55</v>
      </c>
      <c r="O169" s="43"/>
      <c r="P169" s="43"/>
      <c r="Q169" s="43"/>
      <c r="R169" s="43"/>
      <c r="S169" s="43"/>
      <c r="T169" s="43"/>
    </row>
    <row r="170" ht="15.75" customHeight="1">
      <c r="A170" s="43"/>
      <c r="B170" s="43">
        <f t="shared" ref="B170:N170" si="80">B118-B153</f>
        <v>0</v>
      </c>
      <c r="C170" s="43">
        <f t="shared" si="80"/>
        <v>0</v>
      </c>
      <c r="D170" s="43">
        <f t="shared" si="80"/>
        <v>0</v>
      </c>
      <c r="E170" s="43">
        <f t="shared" si="80"/>
        <v>0</v>
      </c>
      <c r="F170" s="43">
        <f t="shared" si="80"/>
        <v>0</v>
      </c>
      <c r="G170" s="43">
        <f t="shared" si="80"/>
        <v>0</v>
      </c>
      <c r="H170" s="43">
        <f t="shared" si="80"/>
        <v>0</v>
      </c>
      <c r="I170" s="43">
        <f t="shared" si="80"/>
        <v>0</v>
      </c>
      <c r="J170" s="43">
        <f t="shared" si="80"/>
        <v>0</v>
      </c>
      <c r="K170" s="43">
        <f t="shared" si="80"/>
        <v>0</v>
      </c>
      <c r="L170" s="43">
        <f t="shared" si="80"/>
        <v>0</v>
      </c>
      <c r="M170" s="43">
        <f t="shared" si="80"/>
        <v>0</v>
      </c>
      <c r="N170" s="117">
        <f t="shared" si="80"/>
        <v>0</v>
      </c>
      <c r="O170" s="43"/>
      <c r="P170" s="43"/>
      <c r="Q170" s="43"/>
      <c r="R170" s="43"/>
      <c r="S170" s="43"/>
      <c r="T170" s="43"/>
    </row>
    <row r="171" ht="15.75" customHeight="1">
      <c r="A171" s="43"/>
      <c r="B171" s="43">
        <f t="shared" ref="B171:N171" si="81">B119-B154</f>
        <v>0</v>
      </c>
      <c r="C171" s="43">
        <f t="shared" si="81"/>
        <v>0</v>
      </c>
      <c r="D171" s="43">
        <f t="shared" si="81"/>
        <v>0</v>
      </c>
      <c r="E171" s="43">
        <f t="shared" si="81"/>
        <v>0</v>
      </c>
      <c r="F171" s="43">
        <f t="shared" si="81"/>
        <v>0</v>
      </c>
      <c r="G171" s="43">
        <f t="shared" si="81"/>
        <v>0</v>
      </c>
      <c r="H171" s="43">
        <f t="shared" si="81"/>
        <v>0</v>
      </c>
      <c r="I171" s="43">
        <f t="shared" si="81"/>
        <v>0</v>
      </c>
      <c r="J171" s="43">
        <f t="shared" si="81"/>
        <v>0</v>
      </c>
      <c r="K171" s="43">
        <f t="shared" si="81"/>
        <v>0</v>
      </c>
      <c r="L171" s="43">
        <f t="shared" si="81"/>
        <v>0</v>
      </c>
      <c r="M171" s="43">
        <f t="shared" si="81"/>
        <v>0</v>
      </c>
      <c r="N171" s="117">
        <f t="shared" si="81"/>
        <v>0</v>
      </c>
      <c r="O171" s="43"/>
      <c r="P171" s="43"/>
      <c r="Q171" s="43"/>
      <c r="R171" s="43"/>
      <c r="S171" s="43"/>
      <c r="T171" s="43"/>
    </row>
    <row r="172" ht="15.75" customHeight="1">
      <c r="A172" s="43"/>
      <c r="B172" s="311">
        <f t="shared" ref="B172:N172" si="82">B120-B155</f>
        <v>243701.12</v>
      </c>
      <c r="C172" s="311">
        <f t="shared" si="82"/>
        <v>-6827.28</v>
      </c>
      <c r="D172" s="311">
        <f t="shared" si="82"/>
        <v>118467.11</v>
      </c>
      <c r="E172" s="311">
        <f t="shared" si="82"/>
        <v>8199463.17</v>
      </c>
      <c r="F172" s="311">
        <f t="shared" si="82"/>
        <v>855043.58</v>
      </c>
      <c r="G172" s="311">
        <f t="shared" si="82"/>
        <v>780543.38</v>
      </c>
      <c r="H172" s="311">
        <f t="shared" si="82"/>
        <v>805822.39</v>
      </c>
      <c r="I172" s="311">
        <f t="shared" si="82"/>
        <v>-7318061.25</v>
      </c>
      <c r="J172" s="311">
        <f t="shared" si="82"/>
        <v>69608.82</v>
      </c>
      <c r="K172" s="311">
        <f t="shared" si="82"/>
        <v>7258.29</v>
      </c>
      <c r="L172" s="311">
        <f t="shared" si="82"/>
        <v>-17527.35</v>
      </c>
      <c r="M172" s="311">
        <f t="shared" si="82"/>
        <v>10282.76</v>
      </c>
      <c r="N172" s="117">
        <f t="shared" si="82"/>
        <v>3747774.74</v>
      </c>
      <c r="O172" s="43"/>
      <c r="P172" s="43"/>
      <c r="Q172" s="43"/>
      <c r="R172" s="43"/>
      <c r="S172" s="43"/>
      <c r="T172" s="43"/>
    </row>
    <row r="173" ht="15.75" customHeight="1">
      <c r="A173" s="43"/>
      <c r="B173" s="43">
        <f t="shared" ref="B173:N173" si="83">B121-B156</f>
        <v>0</v>
      </c>
      <c r="C173" s="43">
        <f t="shared" si="83"/>
        <v>0</v>
      </c>
      <c r="D173" s="43">
        <f t="shared" si="83"/>
        <v>0</v>
      </c>
      <c r="E173" s="43">
        <f t="shared" si="83"/>
        <v>0</v>
      </c>
      <c r="F173" s="43">
        <f t="shared" si="83"/>
        <v>0</v>
      </c>
      <c r="G173" s="43">
        <f t="shared" si="83"/>
        <v>0</v>
      </c>
      <c r="H173" s="43">
        <f t="shared" si="83"/>
        <v>0</v>
      </c>
      <c r="I173" s="43">
        <f t="shared" si="83"/>
        <v>0</v>
      </c>
      <c r="J173" s="43">
        <f t="shared" si="83"/>
        <v>0</v>
      </c>
      <c r="K173" s="43">
        <f t="shared" si="83"/>
        <v>0</v>
      </c>
      <c r="L173" s="43">
        <f t="shared" si="83"/>
        <v>0</v>
      </c>
      <c r="M173" s="43">
        <f t="shared" si="83"/>
        <v>0</v>
      </c>
      <c r="N173" s="117">
        <f t="shared" si="83"/>
        <v>0</v>
      </c>
      <c r="O173" s="43"/>
      <c r="P173" s="43"/>
      <c r="Q173" s="43"/>
      <c r="R173" s="43"/>
      <c r="S173" s="43"/>
      <c r="T173" s="43"/>
    </row>
    <row r="174" ht="15.75" customHeight="1">
      <c r="A174" s="43"/>
      <c r="B174" s="43">
        <f t="shared" ref="B174:N174" si="84">B122-B157</f>
        <v>0</v>
      </c>
      <c r="C174" s="43">
        <f t="shared" si="84"/>
        <v>0</v>
      </c>
      <c r="D174" s="43">
        <f t="shared" si="84"/>
        <v>0</v>
      </c>
      <c r="E174" s="43">
        <f t="shared" si="84"/>
        <v>0</v>
      </c>
      <c r="F174" s="43">
        <f t="shared" si="84"/>
        <v>0</v>
      </c>
      <c r="G174" s="43">
        <f t="shared" si="84"/>
        <v>0</v>
      </c>
      <c r="H174" s="43">
        <f t="shared" si="84"/>
        <v>0</v>
      </c>
      <c r="I174" s="43">
        <f t="shared" si="84"/>
        <v>0</v>
      </c>
      <c r="J174" s="43">
        <f t="shared" si="84"/>
        <v>0</v>
      </c>
      <c r="K174" s="43">
        <f t="shared" si="84"/>
        <v>0</v>
      </c>
      <c r="L174" s="43">
        <f t="shared" si="84"/>
        <v>0</v>
      </c>
      <c r="M174" s="43">
        <f t="shared" si="84"/>
        <v>0</v>
      </c>
      <c r="N174" s="117">
        <f t="shared" si="84"/>
        <v>0</v>
      </c>
      <c r="O174" s="43"/>
      <c r="P174" s="43"/>
      <c r="Q174" s="43"/>
      <c r="R174" s="43"/>
      <c r="S174" s="43"/>
      <c r="T174" s="43"/>
    </row>
    <row r="175" ht="15.75" customHeight="1">
      <c r="A175" s="43"/>
      <c r="B175" s="119">
        <f t="shared" ref="B175:N175" si="85">B123-B158</f>
        <v>13704.21</v>
      </c>
      <c r="C175" s="119">
        <f t="shared" si="85"/>
        <v>1695.6</v>
      </c>
      <c r="D175" s="119">
        <f t="shared" si="85"/>
        <v>-12315.07</v>
      </c>
      <c r="E175" s="119">
        <f t="shared" si="85"/>
        <v>0</v>
      </c>
      <c r="F175" s="119">
        <f t="shared" si="85"/>
        <v>-13704.21</v>
      </c>
      <c r="G175" s="119">
        <f t="shared" si="85"/>
        <v>-1695.6</v>
      </c>
      <c r="H175" s="119">
        <f t="shared" si="85"/>
        <v>-157.75</v>
      </c>
      <c r="I175" s="119">
        <f t="shared" si="85"/>
        <v>0</v>
      </c>
      <c r="J175" s="119">
        <f t="shared" si="85"/>
        <v>0</v>
      </c>
      <c r="K175" s="119">
        <f t="shared" si="85"/>
        <v>0</v>
      </c>
      <c r="L175" s="119">
        <f t="shared" si="85"/>
        <v>0</v>
      </c>
      <c r="M175" s="119">
        <f t="shared" si="85"/>
        <v>0</v>
      </c>
      <c r="N175" s="117">
        <f t="shared" si="85"/>
        <v>-12472.82</v>
      </c>
      <c r="O175" s="43"/>
      <c r="P175" s="43"/>
      <c r="Q175" s="43"/>
      <c r="R175" s="43"/>
      <c r="S175" s="43"/>
      <c r="T175" s="43"/>
    </row>
    <row r="176" ht="15.75" customHeight="1">
      <c r="A176" s="43"/>
      <c r="B176" s="119">
        <f t="shared" ref="B176:N176" si="86">B124-B159</f>
        <v>229996.91</v>
      </c>
      <c r="C176" s="119">
        <f t="shared" si="86"/>
        <v>-8522.88</v>
      </c>
      <c r="D176" s="119">
        <f t="shared" si="86"/>
        <v>130782.18</v>
      </c>
      <c r="E176" s="119">
        <f t="shared" si="86"/>
        <v>8199463.17</v>
      </c>
      <c r="F176" s="119">
        <f t="shared" si="86"/>
        <v>868747.79</v>
      </c>
      <c r="G176" s="119">
        <f t="shared" si="86"/>
        <v>782238.98</v>
      </c>
      <c r="H176" s="119">
        <f t="shared" si="86"/>
        <v>805980.14</v>
      </c>
      <c r="I176" s="119">
        <f t="shared" si="86"/>
        <v>-7318061.25</v>
      </c>
      <c r="J176" s="119">
        <f t="shared" si="86"/>
        <v>69608.82</v>
      </c>
      <c r="K176" s="119">
        <f t="shared" si="86"/>
        <v>7258.29</v>
      </c>
      <c r="L176" s="119">
        <f t="shared" si="86"/>
        <v>-17527.35</v>
      </c>
      <c r="M176" s="119">
        <f t="shared" si="86"/>
        <v>10282.76</v>
      </c>
      <c r="N176" s="117">
        <f t="shared" si="86"/>
        <v>3760247.56</v>
      </c>
      <c r="O176" s="43"/>
      <c r="P176" s="43"/>
      <c r="Q176" s="43"/>
      <c r="R176" s="43"/>
      <c r="S176" s="43"/>
      <c r="T176" s="43"/>
    </row>
    <row r="177" ht="15.75" customHeight="1">
      <c r="A177" s="43"/>
      <c r="B177" s="119">
        <f t="shared" ref="B177:N177" si="87">B125-B160</f>
        <v>2097435.38</v>
      </c>
      <c r="C177" s="119">
        <f t="shared" si="87"/>
        <v>-1439024.58</v>
      </c>
      <c r="D177" s="119">
        <f t="shared" si="87"/>
        <v>-1396810.32</v>
      </c>
      <c r="E177" s="119">
        <f t="shared" si="87"/>
        <v>21962169.22</v>
      </c>
      <c r="F177" s="119">
        <f t="shared" si="87"/>
        <v>-967031.66</v>
      </c>
      <c r="G177" s="119">
        <f t="shared" si="87"/>
        <v>-738378.59</v>
      </c>
      <c r="H177" s="119">
        <f t="shared" si="87"/>
        <v>-685210.43</v>
      </c>
      <c r="I177" s="119">
        <f t="shared" si="87"/>
        <v>-22962987.32</v>
      </c>
      <c r="J177" s="119">
        <f t="shared" si="87"/>
        <v>-1348.19</v>
      </c>
      <c r="K177" s="119">
        <f t="shared" si="87"/>
        <v>22724.28</v>
      </c>
      <c r="L177" s="119">
        <f t="shared" si="87"/>
        <v>33186.3</v>
      </c>
      <c r="M177" s="119">
        <f t="shared" si="87"/>
        <v>212419.91</v>
      </c>
      <c r="N177" s="117">
        <f t="shared" si="87"/>
        <v>-3862856</v>
      </c>
      <c r="O177" s="43"/>
      <c r="P177" s="43"/>
      <c r="Q177" s="43"/>
      <c r="R177" s="43"/>
      <c r="S177" s="43"/>
      <c r="T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ht="15.7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</row>
    <row r="246" ht="15.7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</row>
    <row r="247" ht="15.7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</row>
    <row r="248" ht="15.7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</row>
    <row r="249" ht="15.7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</row>
    <row r="250" ht="15.7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</row>
    <row r="251" ht="15.7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</row>
    <row r="252" ht="15.7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</row>
    <row r="253" ht="15.7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</row>
    <row r="254" ht="15.7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</row>
    <row r="255" ht="15.7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</row>
    <row r="256" ht="15.7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</row>
    <row r="257" ht="15.7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</row>
    <row r="258" ht="15.7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</row>
    <row r="259" ht="15.7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</row>
    <row r="260" ht="15.7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</row>
    <row r="261" ht="15.7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</row>
    <row r="262" ht="15.7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</row>
    <row r="263" ht="15.7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</row>
    <row r="264" ht="15.7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</row>
    <row r="265" ht="15.7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</row>
    <row r="266" ht="15.7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</row>
    <row r="267" ht="15.7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</row>
    <row r="268" ht="15.7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</row>
    <row r="269" ht="15.7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</row>
    <row r="270" ht="15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</row>
    <row r="271" ht="15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</row>
    <row r="272" ht="15.7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</row>
    <row r="273" ht="15.7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</row>
    <row r="274" ht="15.7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</row>
    <row r="275" ht="15.7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</row>
    <row r="276" ht="15.7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</row>
    <row r="277" ht="15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</row>
    <row r="278" ht="15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</row>
    <row r="279" ht="15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</row>
    <row r="280" ht="15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</row>
    <row r="281" ht="15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</row>
    <row r="282" ht="15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</row>
    <row r="283" ht="15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</row>
    <row r="284" ht="15.7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</row>
    <row r="285" ht="15.7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</row>
    <row r="286" ht="15.7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</row>
    <row r="287" ht="15.7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</row>
    <row r="288" ht="15.7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</row>
    <row r="289" ht="15.7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</row>
    <row r="290" ht="15.7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</row>
    <row r="291" ht="15.7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</row>
    <row r="292" ht="15.7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</row>
    <row r="293" ht="15.7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</row>
    <row r="294" ht="15.7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</row>
    <row r="295" ht="15.7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</row>
    <row r="296" ht="15.7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</row>
    <row r="297" ht="15.7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</row>
    <row r="298" ht="15.7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</row>
    <row r="299" ht="15.7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</row>
    <row r="300" ht="15.7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</row>
    <row r="301" ht="15.7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</row>
    <row r="302" ht="15.7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</row>
    <row r="303" ht="15.7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</row>
    <row r="304" ht="15.7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</row>
    <row r="305" ht="15.7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</row>
    <row r="306" ht="15.7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</row>
    <row r="307" ht="15.7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</row>
    <row r="308" ht="15.7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</row>
    <row r="309" ht="15.7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</row>
    <row r="310" ht="15.7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</row>
    <row r="311" ht="15.7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</row>
    <row r="312" ht="15.7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</row>
    <row r="313" ht="15.7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</row>
    <row r="314" ht="15.7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</row>
    <row r="315" ht="15.7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</row>
    <row r="316" ht="15.7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</row>
    <row r="317" ht="15.7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</row>
    <row r="318" ht="15.7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</row>
    <row r="319" ht="15.7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</row>
    <row r="320" ht="15.7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</row>
    <row r="321" ht="15.7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</row>
    <row r="322" ht="15.7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</row>
    <row r="323" ht="15.7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</row>
    <row r="324" ht="15.7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</row>
    <row r="325" ht="15.7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</row>
    <row r="326" ht="15.7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</row>
    <row r="327" ht="15.7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</row>
    <row r="328" ht="15.7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</row>
    <row r="329" ht="15.7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</row>
    <row r="330" ht="15.7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</row>
    <row r="331" ht="15.7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</row>
    <row r="332" ht="15.7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</row>
    <row r="333" ht="15.7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</row>
    <row r="334" ht="15.7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</row>
    <row r="335" ht="15.7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</row>
    <row r="336" ht="15.7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</row>
    <row r="337" ht="15.7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</row>
    <row r="338" ht="15.7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</row>
    <row r="339" ht="15.7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</row>
    <row r="340" ht="15.7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</row>
    <row r="341" ht="15.7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</row>
    <row r="342" ht="15.7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</row>
    <row r="343" ht="15.7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</row>
    <row r="344" ht="15.7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</row>
    <row r="345" ht="15.7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</row>
    <row r="346" ht="15.7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</row>
    <row r="347" ht="15.7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</row>
    <row r="348" ht="15.7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</row>
    <row r="349" ht="15.7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</row>
    <row r="350" ht="15.7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</row>
    <row r="351" ht="15.7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</row>
    <row r="352" ht="15.7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</row>
    <row r="353" ht="15.7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</row>
    <row r="354" ht="15.7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</row>
    <row r="355" ht="15.7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</row>
    <row r="356" ht="15.7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</row>
    <row r="357" ht="15.7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</row>
    <row r="358" ht="15.7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</row>
    <row r="359" ht="15.7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</row>
    <row r="360" ht="15.7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</row>
    <row r="361" ht="15.7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</row>
    <row r="362" ht="15.7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</row>
    <row r="363" ht="15.7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</row>
    <row r="364" ht="15.7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</row>
    <row r="365" ht="15.7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</row>
    <row r="366" ht="15.7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</row>
    <row r="367" ht="15.7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</row>
    <row r="368" ht="15.7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</row>
    <row r="369" ht="15.7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</row>
    <row r="370" ht="15.7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</row>
    <row r="371" ht="15.7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</row>
    <row r="372" ht="15.7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</row>
    <row r="373" ht="15.7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</row>
    <row r="374" ht="15.7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</row>
    <row r="375" ht="15.7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</row>
    <row r="376" ht="15.7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</row>
    <row r="377" ht="15.7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</row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76:$D$85"/>
  <mergeCells count="36">
    <mergeCell ref="A52:E52"/>
    <mergeCell ref="A53:E53"/>
    <mergeCell ref="A54:E54"/>
    <mergeCell ref="A55:E55"/>
    <mergeCell ref="A56:E56"/>
    <mergeCell ref="A57:E57"/>
    <mergeCell ref="A58:E58"/>
    <mergeCell ref="A59:E59"/>
    <mergeCell ref="C89:E89"/>
    <mergeCell ref="C90:E90"/>
    <mergeCell ref="C91:E91"/>
    <mergeCell ref="C92:E92"/>
    <mergeCell ref="C93:E93"/>
    <mergeCell ref="A96:O96"/>
    <mergeCell ref="A97:O97"/>
    <mergeCell ref="A98:O98"/>
    <mergeCell ref="A99:O99"/>
    <mergeCell ref="A100:O100"/>
    <mergeCell ref="A101:O101"/>
    <mergeCell ref="A102:O102"/>
    <mergeCell ref="A103:O103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N104:O104"/>
    <mergeCell ref="A105:A108"/>
    <mergeCell ref="B105:O105"/>
    <mergeCell ref="B106:O106"/>
    <mergeCell ref="B107:O107"/>
    <mergeCell ref="B109:O109"/>
    <mergeCell ref="B128:C128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2" width="14.43"/>
    <col customWidth="1" min="3" max="3" width="18.71"/>
    <col customWidth="1" min="4" max="6" width="14.43"/>
  </cols>
  <sheetData>
    <row r="1" ht="15.75" customHeight="1">
      <c r="A1" s="312" t="s">
        <v>208</v>
      </c>
      <c r="B1" s="312" t="s">
        <v>177</v>
      </c>
      <c r="C1" s="312" t="s">
        <v>209</v>
      </c>
      <c r="E1" s="313" t="s">
        <v>210</v>
      </c>
    </row>
    <row r="2" ht="15.75" customHeight="1">
      <c r="A2" s="314">
        <v>44044.0</v>
      </c>
      <c r="B2" s="315">
        <v>22042.6</v>
      </c>
      <c r="C2" s="316" t="s">
        <v>211</v>
      </c>
      <c r="E2" s="313" t="s">
        <v>212</v>
      </c>
    </row>
    <row r="3" ht="15.75" customHeight="1">
      <c r="A3" s="314">
        <v>44013.0</v>
      </c>
      <c r="B3" s="315">
        <v>22042.6</v>
      </c>
      <c r="C3" s="316" t="s">
        <v>213</v>
      </c>
    </row>
    <row r="4" ht="15.75" customHeight="1">
      <c r="A4" s="314">
        <v>43983.0</v>
      </c>
      <c r="B4" s="315">
        <v>22042.6</v>
      </c>
      <c r="C4" s="316" t="s">
        <v>214</v>
      </c>
      <c r="E4" s="187">
        <v>66127.8</v>
      </c>
    </row>
    <row r="5" ht="15.75" customHeight="1">
      <c r="A5" s="314">
        <v>43952.0</v>
      </c>
      <c r="B5" s="315">
        <v>0.0</v>
      </c>
      <c r="C5" s="316" t="s">
        <v>180</v>
      </c>
      <c r="E5" s="187">
        <v>2212584.16</v>
      </c>
    </row>
    <row r="6" ht="15.75" customHeight="1">
      <c r="A6" s="314">
        <v>43922.0</v>
      </c>
      <c r="B6" s="315">
        <v>0.0</v>
      </c>
      <c r="C6" s="316" t="s">
        <v>180</v>
      </c>
      <c r="E6" s="187">
        <f>SUM(E4:E5)</f>
        <v>2278711.96</v>
      </c>
    </row>
    <row r="7" ht="15.75" customHeight="1">
      <c r="A7" s="314">
        <v>43891.0</v>
      </c>
      <c r="B7" s="315">
        <v>0.0</v>
      </c>
      <c r="C7" s="316" t="s">
        <v>180</v>
      </c>
    </row>
    <row r="8" ht="15.75" customHeight="1">
      <c r="A8" s="314">
        <v>43862.0</v>
      </c>
      <c r="B8" s="315">
        <v>0.0</v>
      </c>
      <c r="C8" s="316" t="s">
        <v>180</v>
      </c>
    </row>
    <row r="9" ht="15.75" customHeight="1">
      <c r="A9" s="314">
        <v>43831.0</v>
      </c>
      <c r="B9" s="315">
        <v>0.0</v>
      </c>
      <c r="C9" s="316" t="s">
        <v>180</v>
      </c>
    </row>
    <row r="10" ht="15.75" customHeight="1">
      <c r="A10" s="314">
        <v>43800.0</v>
      </c>
      <c r="B10" s="315">
        <v>1604260.53</v>
      </c>
      <c r="C10" s="316" t="s">
        <v>215</v>
      </c>
    </row>
    <row r="11" ht="15.75" customHeight="1">
      <c r="A11" s="314">
        <v>43770.0</v>
      </c>
      <c r="B11" s="315">
        <v>104022.51</v>
      </c>
      <c r="C11" s="316" t="s">
        <v>216</v>
      </c>
    </row>
    <row r="12" ht="15.75" customHeight="1">
      <c r="A12" s="317">
        <v>43739.0</v>
      </c>
      <c r="B12" s="318">
        <v>418501.42</v>
      </c>
      <c r="C12" s="316" t="s">
        <v>217</v>
      </c>
    </row>
    <row r="13" ht="15.75" customHeight="1">
      <c r="A13" s="65"/>
      <c r="B13" s="65"/>
      <c r="C13" s="316" t="s">
        <v>218</v>
      </c>
    </row>
    <row r="14" ht="15.75" customHeight="1">
      <c r="A14" s="314">
        <v>43709.0</v>
      </c>
      <c r="B14" s="315">
        <v>85799.7</v>
      </c>
      <c r="C14" s="316" t="s">
        <v>219</v>
      </c>
    </row>
    <row r="15" ht="15.75" customHeight="1">
      <c r="A15" s="319" t="s">
        <v>220</v>
      </c>
      <c r="B15" s="320">
        <f>SUM(B2:B14)</f>
        <v>2278711.96</v>
      </c>
    </row>
    <row r="16" ht="15.75" customHeight="1">
      <c r="A16" s="321"/>
    </row>
    <row r="17" ht="15.75" customHeight="1">
      <c r="A17" s="321"/>
    </row>
    <row r="18" ht="15.75" customHeight="1">
      <c r="A18" s="321"/>
    </row>
    <row r="19" ht="15.75" customHeight="1">
      <c r="A19" s="321"/>
      <c r="J19" s="187"/>
    </row>
    <row r="20" ht="15.75" customHeight="1">
      <c r="A20" s="321"/>
      <c r="J20" s="187"/>
    </row>
    <row r="21" ht="15.75" customHeight="1">
      <c r="A21" s="321"/>
    </row>
    <row r="22" ht="15.75" customHeight="1">
      <c r="A22" s="321"/>
    </row>
    <row r="23" ht="15.75" customHeight="1">
      <c r="A23" s="321"/>
    </row>
    <row r="24" ht="15.75" customHeight="1">
      <c r="A24" s="321"/>
    </row>
    <row r="25" ht="15.75" customHeight="1">
      <c r="A25" s="321"/>
    </row>
    <row r="26" ht="15.75" customHeight="1">
      <c r="A26" s="321"/>
    </row>
    <row r="27" ht="15.75" customHeight="1">
      <c r="A27" s="321"/>
    </row>
    <row r="28" ht="15.75" customHeight="1">
      <c r="A28" s="321"/>
    </row>
    <row r="29" ht="15.75" customHeight="1">
      <c r="A29" s="321"/>
    </row>
    <row r="30" ht="15.75" customHeight="1">
      <c r="A30" s="321"/>
    </row>
    <row r="31" ht="15.75" customHeight="1">
      <c r="A31" s="321"/>
    </row>
    <row r="32" ht="15.75" customHeight="1">
      <c r="A32" s="321"/>
    </row>
    <row r="33" ht="15.75" customHeight="1">
      <c r="A33" s="321"/>
    </row>
    <row r="34" ht="15.75" customHeight="1">
      <c r="A34" s="321"/>
    </row>
    <row r="35" ht="15.75" customHeight="1">
      <c r="A35" s="321"/>
    </row>
    <row r="36" ht="15.75" customHeight="1">
      <c r="A36" s="321"/>
    </row>
    <row r="37" ht="15.75" customHeight="1">
      <c r="A37" s="321"/>
    </row>
    <row r="38" ht="15.75" customHeight="1">
      <c r="A38" s="321"/>
    </row>
    <row r="39" ht="15.75" customHeight="1">
      <c r="A39" s="321"/>
    </row>
    <row r="40" ht="15.75" customHeight="1">
      <c r="A40" s="321"/>
    </row>
    <row r="41" ht="15.75" customHeight="1">
      <c r="A41" s="321"/>
    </row>
    <row r="42" ht="15.75" customHeight="1">
      <c r="A42" s="321"/>
    </row>
    <row r="43" ht="15.75" customHeight="1">
      <c r="A43" s="321"/>
    </row>
    <row r="44" ht="15.75" customHeight="1">
      <c r="A44" s="321"/>
    </row>
    <row r="45" ht="15.75" customHeight="1">
      <c r="A45" s="321"/>
    </row>
    <row r="46" ht="15.75" customHeight="1">
      <c r="A46" s="321"/>
    </row>
    <row r="47" ht="15.75" customHeight="1">
      <c r="A47" s="321"/>
    </row>
    <row r="48" ht="15.75" customHeight="1">
      <c r="A48" s="321"/>
    </row>
    <row r="49" ht="15.75" customHeight="1">
      <c r="A49" s="321"/>
    </row>
    <row r="50" ht="15.75" customHeight="1">
      <c r="A50" s="321"/>
    </row>
    <row r="51" ht="15.75" customHeight="1">
      <c r="A51" s="321"/>
    </row>
    <row r="52" ht="15.75" customHeight="1">
      <c r="A52" s="321"/>
    </row>
    <row r="53" ht="15.75" customHeight="1">
      <c r="A53" s="321"/>
    </row>
    <row r="54" ht="15.75" customHeight="1">
      <c r="A54" s="321"/>
    </row>
    <row r="55" ht="15.75" customHeight="1">
      <c r="A55" s="321"/>
    </row>
    <row r="56" ht="15.75" customHeight="1">
      <c r="A56" s="321"/>
    </row>
    <row r="57" ht="15.75" customHeight="1">
      <c r="A57" s="321"/>
    </row>
    <row r="58" ht="15.75" customHeight="1">
      <c r="A58" s="321"/>
    </row>
    <row r="59" ht="15.75" customHeight="1">
      <c r="A59" s="321"/>
    </row>
    <row r="60" ht="15.75" customHeight="1">
      <c r="A60" s="321"/>
    </row>
    <row r="61" ht="15.75" customHeight="1">
      <c r="A61" s="321"/>
    </row>
    <row r="62" ht="15.75" customHeight="1">
      <c r="A62" s="321"/>
    </row>
    <row r="63" ht="15.75" customHeight="1">
      <c r="A63" s="321"/>
    </row>
    <row r="64" ht="15.75" customHeight="1">
      <c r="A64" s="321"/>
    </row>
    <row r="65" ht="15.75" customHeight="1">
      <c r="A65" s="321"/>
    </row>
    <row r="66" ht="15.75" customHeight="1">
      <c r="A66" s="321"/>
    </row>
    <row r="67" ht="15.75" customHeight="1">
      <c r="A67" s="321"/>
    </row>
    <row r="68" ht="15.75" customHeight="1">
      <c r="A68" s="321"/>
    </row>
    <row r="69" ht="15.75" customHeight="1">
      <c r="A69" s="321"/>
    </row>
    <row r="70" ht="15.75" customHeight="1">
      <c r="A70" s="321"/>
    </row>
    <row r="71" ht="15.75" customHeight="1">
      <c r="A71" s="321"/>
    </row>
    <row r="72" ht="15.75" customHeight="1">
      <c r="A72" s="321"/>
    </row>
    <row r="73" ht="15.75" customHeight="1">
      <c r="A73" s="321"/>
    </row>
    <row r="74" ht="15.75" customHeight="1">
      <c r="A74" s="321"/>
    </row>
    <row r="75" ht="15.75" customHeight="1">
      <c r="A75" s="321"/>
    </row>
    <row r="76" ht="15.75" customHeight="1">
      <c r="A76" s="321"/>
    </row>
    <row r="77" ht="15.75" customHeight="1">
      <c r="A77" s="321"/>
    </row>
    <row r="78" ht="15.75" customHeight="1">
      <c r="A78" s="321"/>
    </row>
    <row r="79" ht="15.75" customHeight="1">
      <c r="A79" s="321"/>
    </row>
    <row r="80" ht="15.75" customHeight="1">
      <c r="A80" s="321"/>
    </row>
    <row r="81" ht="15.75" customHeight="1">
      <c r="A81" s="321"/>
    </row>
    <row r="82" ht="15.75" customHeight="1">
      <c r="A82" s="321"/>
    </row>
    <row r="83" ht="15.75" customHeight="1">
      <c r="A83" s="321"/>
    </row>
    <row r="84" ht="15.75" customHeight="1">
      <c r="A84" s="321"/>
    </row>
    <row r="85" ht="15.75" customHeight="1">
      <c r="A85" s="321"/>
    </row>
    <row r="86" ht="15.75" customHeight="1">
      <c r="A86" s="321"/>
    </row>
    <row r="87" ht="15.75" customHeight="1">
      <c r="A87" s="321"/>
    </row>
    <row r="88" ht="15.75" customHeight="1">
      <c r="A88" s="321"/>
    </row>
    <row r="89" ht="15.75" customHeight="1">
      <c r="A89" s="321"/>
    </row>
    <row r="90" ht="15.75" customHeight="1">
      <c r="A90" s="321"/>
    </row>
    <row r="91" ht="15.75" customHeight="1">
      <c r="A91" s="321"/>
    </row>
    <row r="92" ht="15.75" customHeight="1">
      <c r="A92" s="321"/>
    </row>
    <row r="93" ht="15.75" customHeight="1">
      <c r="A93" s="321"/>
    </row>
    <row r="94" ht="15.75" customHeight="1">
      <c r="A94" s="321"/>
    </row>
    <row r="95" ht="15.75" customHeight="1">
      <c r="A95" s="321"/>
    </row>
    <row r="96" ht="15.75" customHeight="1">
      <c r="A96" s="321"/>
    </row>
    <row r="97" ht="15.75" customHeight="1">
      <c r="A97" s="321"/>
    </row>
    <row r="98" ht="15.75" customHeight="1">
      <c r="A98" s="321"/>
    </row>
    <row r="99" ht="15.75" customHeight="1">
      <c r="A99" s="321"/>
    </row>
    <row r="100" ht="15.75" customHeight="1">
      <c r="A100" s="321"/>
    </row>
    <row r="101" ht="15.75" customHeight="1">
      <c r="A101" s="321"/>
    </row>
    <row r="102" ht="15.75" customHeight="1">
      <c r="A102" s="321"/>
    </row>
    <row r="103" ht="15.75" customHeight="1">
      <c r="A103" s="321"/>
    </row>
    <row r="104" ht="15.75" customHeight="1">
      <c r="A104" s="321"/>
    </row>
    <row r="105" ht="15.75" customHeight="1">
      <c r="A105" s="321"/>
    </row>
    <row r="106" ht="15.75" customHeight="1">
      <c r="A106" s="321"/>
    </row>
    <row r="107" ht="15.75" customHeight="1">
      <c r="A107" s="321"/>
    </row>
    <row r="108" ht="15.75" customHeight="1">
      <c r="A108" s="321"/>
    </row>
    <row r="109" ht="15.75" customHeight="1">
      <c r="A109" s="321"/>
    </row>
    <row r="110" ht="15.75" customHeight="1">
      <c r="A110" s="321"/>
    </row>
    <row r="111" ht="15.75" customHeight="1">
      <c r="A111" s="321"/>
    </row>
    <row r="112" ht="15.75" customHeight="1">
      <c r="A112" s="321"/>
    </row>
    <row r="113" ht="15.75" customHeight="1">
      <c r="A113" s="321"/>
    </row>
    <row r="114" ht="15.75" customHeight="1">
      <c r="A114" s="321"/>
    </row>
    <row r="115" ht="15.75" customHeight="1">
      <c r="A115" s="321"/>
    </row>
    <row r="116" ht="15.75" customHeight="1">
      <c r="A116" s="321"/>
    </row>
    <row r="117" ht="15.75" customHeight="1">
      <c r="A117" s="321"/>
    </row>
    <row r="118" ht="15.75" customHeight="1">
      <c r="A118" s="321"/>
    </row>
    <row r="119" ht="15.75" customHeight="1">
      <c r="A119" s="321"/>
    </row>
    <row r="120" ht="15.75" customHeight="1">
      <c r="A120" s="321"/>
    </row>
    <row r="121" ht="15.75" customHeight="1">
      <c r="A121" s="321"/>
    </row>
    <row r="122" ht="15.75" customHeight="1">
      <c r="A122" s="321"/>
    </row>
    <row r="123" ht="15.75" customHeight="1">
      <c r="A123" s="321"/>
    </row>
    <row r="124" ht="15.75" customHeight="1">
      <c r="A124" s="321"/>
    </row>
    <row r="125" ht="15.75" customHeight="1">
      <c r="A125" s="321"/>
    </row>
    <row r="126" ht="15.75" customHeight="1">
      <c r="A126" s="321"/>
    </row>
    <row r="127" ht="15.75" customHeight="1">
      <c r="A127" s="321"/>
    </row>
    <row r="128" ht="15.75" customHeight="1">
      <c r="A128" s="321"/>
    </row>
    <row r="129" ht="15.75" customHeight="1">
      <c r="A129" s="321"/>
    </row>
    <row r="130" ht="15.75" customHeight="1">
      <c r="A130" s="321"/>
    </row>
    <row r="131" ht="15.75" customHeight="1">
      <c r="A131" s="321"/>
    </row>
    <row r="132" ht="15.75" customHeight="1">
      <c r="A132" s="321"/>
    </row>
    <row r="133" ht="15.75" customHeight="1">
      <c r="A133" s="321"/>
    </row>
    <row r="134" ht="15.75" customHeight="1">
      <c r="A134" s="321"/>
    </row>
    <row r="135" ht="15.75" customHeight="1">
      <c r="A135" s="321"/>
    </row>
    <row r="136" ht="15.75" customHeight="1">
      <c r="A136" s="321"/>
    </row>
    <row r="137" ht="15.75" customHeight="1">
      <c r="A137" s="321"/>
    </row>
    <row r="138" ht="15.75" customHeight="1">
      <c r="A138" s="321"/>
    </row>
    <row r="139" ht="15.75" customHeight="1">
      <c r="A139" s="321"/>
    </row>
    <row r="140" ht="15.75" customHeight="1">
      <c r="A140" s="321"/>
    </row>
    <row r="141" ht="15.75" customHeight="1">
      <c r="A141" s="321"/>
    </row>
    <row r="142" ht="15.75" customHeight="1">
      <c r="A142" s="321"/>
    </row>
    <row r="143" ht="15.75" customHeight="1">
      <c r="A143" s="321"/>
    </row>
    <row r="144" ht="15.75" customHeight="1">
      <c r="A144" s="321"/>
    </row>
    <row r="145" ht="15.75" customHeight="1">
      <c r="A145" s="321"/>
    </row>
    <row r="146" ht="15.75" customHeight="1">
      <c r="A146" s="321"/>
    </row>
    <row r="147" ht="15.75" customHeight="1">
      <c r="A147" s="321"/>
    </row>
    <row r="148" ht="15.75" customHeight="1">
      <c r="A148" s="321"/>
    </row>
    <row r="149" ht="15.75" customHeight="1">
      <c r="A149" s="321"/>
    </row>
    <row r="150" ht="15.75" customHeight="1">
      <c r="A150" s="321"/>
    </row>
    <row r="151" ht="15.75" customHeight="1">
      <c r="A151" s="321"/>
    </row>
    <row r="152" ht="15.75" customHeight="1">
      <c r="A152" s="321"/>
    </row>
    <row r="153" ht="15.75" customHeight="1">
      <c r="A153" s="321"/>
    </row>
    <row r="154" ht="15.75" customHeight="1">
      <c r="A154" s="321"/>
    </row>
    <row r="155" ht="15.75" customHeight="1">
      <c r="A155" s="321"/>
    </row>
    <row r="156" ht="15.75" customHeight="1">
      <c r="A156" s="321"/>
    </row>
    <row r="157" ht="15.75" customHeight="1">
      <c r="A157" s="321"/>
    </row>
    <row r="158" ht="15.75" customHeight="1">
      <c r="A158" s="321"/>
    </row>
    <row r="159" ht="15.75" customHeight="1">
      <c r="A159" s="321"/>
    </row>
    <row r="160" ht="15.75" customHeight="1">
      <c r="A160" s="321"/>
    </row>
    <row r="161" ht="15.75" customHeight="1">
      <c r="A161" s="321"/>
    </row>
    <row r="162" ht="15.75" customHeight="1">
      <c r="A162" s="321"/>
    </row>
    <row r="163" ht="15.75" customHeight="1">
      <c r="A163" s="321"/>
    </row>
    <row r="164" ht="15.75" customHeight="1">
      <c r="A164" s="321"/>
    </row>
    <row r="165" ht="15.75" customHeight="1">
      <c r="A165" s="321"/>
    </row>
    <row r="166" ht="15.75" customHeight="1">
      <c r="A166" s="321"/>
    </row>
    <row r="167" ht="15.75" customHeight="1">
      <c r="A167" s="321"/>
    </row>
    <row r="168" ht="15.75" customHeight="1">
      <c r="A168" s="321"/>
    </row>
    <row r="169" ht="15.75" customHeight="1">
      <c r="A169" s="321"/>
    </row>
    <row r="170" ht="15.75" customHeight="1">
      <c r="A170" s="321"/>
    </row>
    <row r="171" ht="15.75" customHeight="1">
      <c r="A171" s="321"/>
    </row>
    <row r="172" ht="15.75" customHeight="1">
      <c r="A172" s="321"/>
    </row>
    <row r="173" ht="15.75" customHeight="1">
      <c r="A173" s="321"/>
    </row>
    <row r="174" ht="15.75" customHeight="1">
      <c r="A174" s="321"/>
    </row>
    <row r="175" ht="15.75" customHeight="1">
      <c r="A175" s="321"/>
    </row>
    <row r="176" ht="15.75" customHeight="1">
      <c r="A176" s="321"/>
    </row>
    <row r="177" ht="15.75" customHeight="1">
      <c r="A177" s="321"/>
    </row>
    <row r="178" ht="15.75" customHeight="1">
      <c r="A178" s="321"/>
    </row>
    <row r="179" ht="15.75" customHeight="1">
      <c r="A179" s="321"/>
    </row>
    <row r="180" ht="15.75" customHeight="1">
      <c r="A180" s="321"/>
    </row>
    <row r="181" ht="15.75" customHeight="1">
      <c r="A181" s="321"/>
    </row>
    <row r="182" ht="15.75" customHeight="1">
      <c r="A182" s="321"/>
    </row>
    <row r="183" ht="15.75" customHeight="1">
      <c r="A183" s="321"/>
    </row>
    <row r="184" ht="15.75" customHeight="1">
      <c r="A184" s="321"/>
    </row>
    <row r="185" ht="15.75" customHeight="1">
      <c r="A185" s="321"/>
    </row>
    <row r="186" ht="15.75" customHeight="1">
      <c r="A186" s="321"/>
    </row>
    <row r="187" ht="15.75" customHeight="1">
      <c r="A187" s="321"/>
    </row>
    <row r="188" ht="15.75" customHeight="1">
      <c r="A188" s="321"/>
    </row>
    <row r="189" ht="15.75" customHeight="1">
      <c r="A189" s="321"/>
    </row>
    <row r="190" ht="15.75" customHeight="1">
      <c r="A190" s="321"/>
    </row>
    <row r="191" ht="15.75" customHeight="1">
      <c r="A191" s="321"/>
    </row>
    <row r="192" ht="15.75" customHeight="1">
      <c r="A192" s="321"/>
    </row>
    <row r="193" ht="15.75" customHeight="1">
      <c r="A193" s="321"/>
    </row>
    <row r="194" ht="15.75" customHeight="1">
      <c r="A194" s="321"/>
    </row>
    <row r="195" ht="15.75" customHeight="1">
      <c r="A195" s="321"/>
    </row>
    <row r="196" ht="15.75" customHeight="1">
      <c r="A196" s="321"/>
    </row>
    <row r="197" ht="15.75" customHeight="1">
      <c r="A197" s="321"/>
    </row>
    <row r="198" ht="15.75" customHeight="1">
      <c r="A198" s="321"/>
    </row>
    <row r="199" ht="15.75" customHeight="1">
      <c r="A199" s="321"/>
    </row>
    <row r="200" ht="15.75" customHeight="1">
      <c r="A200" s="321"/>
    </row>
    <row r="201" ht="15.75" customHeight="1">
      <c r="A201" s="321"/>
    </row>
    <row r="202" ht="15.75" customHeight="1">
      <c r="A202" s="321"/>
    </row>
    <row r="203" ht="15.75" customHeight="1">
      <c r="A203" s="321"/>
    </row>
    <row r="204" ht="15.75" customHeight="1">
      <c r="A204" s="321"/>
    </row>
    <row r="205" ht="15.75" customHeight="1">
      <c r="A205" s="321"/>
    </row>
    <row r="206" ht="15.75" customHeight="1">
      <c r="A206" s="321"/>
    </row>
    <row r="207" ht="15.75" customHeight="1">
      <c r="A207" s="321"/>
    </row>
    <row r="208" ht="15.75" customHeight="1">
      <c r="A208" s="321"/>
    </row>
    <row r="209" ht="15.75" customHeight="1">
      <c r="A209" s="321"/>
    </row>
    <row r="210" ht="15.75" customHeight="1">
      <c r="A210" s="321"/>
    </row>
    <row r="211" ht="15.75" customHeight="1">
      <c r="A211" s="321"/>
    </row>
    <row r="212" ht="15.75" customHeight="1">
      <c r="A212" s="321"/>
    </row>
    <row r="213" ht="15.75" customHeight="1">
      <c r="A213" s="321"/>
    </row>
    <row r="214" ht="15.75" customHeight="1">
      <c r="A214" s="321"/>
    </row>
    <row r="215" ht="15.75" customHeight="1">
      <c r="A215" s="321"/>
    </row>
    <row r="216" ht="15.75" customHeight="1">
      <c r="A216" s="321"/>
    </row>
    <row r="217" ht="15.75" customHeight="1">
      <c r="A217" s="321"/>
    </row>
    <row r="218" ht="15.75" customHeight="1">
      <c r="A218" s="321"/>
    </row>
    <row r="219" ht="15.75" customHeight="1">
      <c r="A219" s="321"/>
    </row>
    <row r="220" ht="15.75" customHeight="1">
      <c r="A220" s="32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2:A13"/>
    <mergeCell ref="B12:B13"/>
  </mergeCell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9.29"/>
    <col customWidth="1" min="2" max="6" width="14.43"/>
    <col customWidth="1" min="14" max="15" width="15.29"/>
  </cols>
  <sheetData>
    <row r="1" ht="15.75" customHeight="1">
      <c r="A1" s="322" t="s">
        <v>221</v>
      </c>
      <c r="B1" s="323">
        <f>'Conciliação DCF X EFISCO c AP'!B108</f>
        <v>43709</v>
      </c>
      <c r="C1" s="323">
        <f>'Conciliação DCF X EFISCO c AP'!C108</f>
        <v>43740</v>
      </c>
      <c r="D1" s="323">
        <f>'Conciliação DCF X EFISCO c AP'!D108</f>
        <v>43771</v>
      </c>
      <c r="E1" s="323">
        <f>'Conciliação DCF X EFISCO c AP'!E108</f>
        <v>43802</v>
      </c>
      <c r="F1" s="323">
        <f>'Conciliação DCF X EFISCO c AP'!F108</f>
        <v>43833</v>
      </c>
      <c r="G1" s="323">
        <f>'Conciliação DCF X EFISCO c AP'!G108</f>
        <v>43864</v>
      </c>
      <c r="H1" s="323">
        <f>'Conciliação DCF X EFISCO c AP'!H108</f>
        <v>43895</v>
      </c>
      <c r="I1" s="323">
        <f>'Conciliação DCF X EFISCO c AP'!I108</f>
        <v>43926</v>
      </c>
      <c r="J1" s="323">
        <f>'Conciliação DCF X EFISCO c AP'!J108</f>
        <v>43957</v>
      </c>
      <c r="K1" s="323">
        <f>'Conciliação DCF X EFISCO c AP'!K108</f>
        <v>43988</v>
      </c>
      <c r="L1" s="323">
        <f>'Conciliação DCF X EFISCO c AP'!L108</f>
        <v>44019</v>
      </c>
      <c r="M1" s="323">
        <f>'Conciliação DCF X EFISCO c AP'!M108</f>
        <v>44050</v>
      </c>
      <c r="N1" s="324" t="s">
        <v>154</v>
      </c>
      <c r="O1" s="324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ht="15.75" customHeight="1">
      <c r="A2" s="326" t="s">
        <v>222</v>
      </c>
      <c r="B2" s="327">
        <f t="shared" ref="B2:N2" si="1">B3+B7</f>
        <v>29720312.67</v>
      </c>
      <c r="C2" s="327">
        <f t="shared" si="1"/>
        <v>33318514.59</v>
      </c>
      <c r="D2" s="327">
        <f t="shared" si="1"/>
        <v>33099038.83</v>
      </c>
      <c r="E2" s="327">
        <f t="shared" si="1"/>
        <v>32142496.61</v>
      </c>
      <c r="F2" s="327">
        <f t="shared" si="1"/>
        <v>31687236.19</v>
      </c>
      <c r="G2" s="327">
        <f t="shared" si="1"/>
        <v>31536371.18</v>
      </c>
      <c r="H2" s="327">
        <f t="shared" si="1"/>
        <v>31461688.42</v>
      </c>
      <c r="I2" s="327">
        <f t="shared" si="1"/>
        <v>61944906.89</v>
      </c>
      <c r="J2" s="327">
        <f t="shared" si="1"/>
        <v>31317103.44</v>
      </c>
      <c r="K2" s="327">
        <f t="shared" si="1"/>
        <v>31317878.14</v>
      </c>
      <c r="L2" s="327">
        <f t="shared" si="1"/>
        <v>31333510.02</v>
      </c>
      <c r="M2" s="327">
        <f t="shared" si="1"/>
        <v>31325134.59</v>
      </c>
      <c r="N2" s="327">
        <f t="shared" si="1"/>
        <v>410204191.6</v>
      </c>
      <c r="O2" s="327">
        <f>'Conciliação DCF X EFISCO c AP'!N110</f>
        <v>409259356.4</v>
      </c>
      <c r="P2" s="328">
        <f t="shared" ref="P2:P16" si="3">N2-O2</f>
        <v>944835.16</v>
      </c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ht="15.75" customHeight="1">
      <c r="A3" s="326" t="s">
        <v>164</v>
      </c>
      <c r="B3" s="327">
        <f t="shared" ref="B3:N3" si="2">B5+B4+B6</f>
        <v>23387633.85</v>
      </c>
      <c r="C3" s="327">
        <f t="shared" si="2"/>
        <v>26660807.18</v>
      </c>
      <c r="D3" s="327">
        <f t="shared" si="2"/>
        <v>26587570.56</v>
      </c>
      <c r="E3" s="327">
        <f t="shared" si="2"/>
        <v>25574198.44</v>
      </c>
      <c r="F3" s="327">
        <f t="shared" si="2"/>
        <v>25124560.46</v>
      </c>
      <c r="G3" s="327">
        <f t="shared" si="2"/>
        <v>24887186.65</v>
      </c>
      <c r="H3" s="327">
        <f t="shared" si="2"/>
        <v>24819437.97</v>
      </c>
      <c r="I3" s="327">
        <f t="shared" si="2"/>
        <v>47177145.55</v>
      </c>
      <c r="J3" s="327">
        <f t="shared" si="2"/>
        <v>23885679.92</v>
      </c>
      <c r="K3" s="327">
        <f t="shared" si="2"/>
        <v>23886454.63</v>
      </c>
      <c r="L3" s="327">
        <f t="shared" si="2"/>
        <v>23885279.43</v>
      </c>
      <c r="M3" s="327">
        <f t="shared" si="2"/>
        <v>23875434.5</v>
      </c>
      <c r="N3" s="327">
        <f t="shared" si="2"/>
        <v>319751389.1</v>
      </c>
      <c r="O3" s="327">
        <f>'Conciliação DCF X EFISCO c AP'!N111</f>
        <v>315046306.4</v>
      </c>
      <c r="P3" s="328">
        <f t="shared" si="3"/>
        <v>4705082.72</v>
      </c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ht="15.75" customHeight="1">
      <c r="A4" s="329" t="s">
        <v>223</v>
      </c>
      <c r="B4" s="330">
        <v>1.834858197E7</v>
      </c>
      <c r="C4" s="330">
        <v>2.092011749E7</v>
      </c>
      <c r="D4" s="330">
        <v>2.120006105E7</v>
      </c>
      <c r="E4" s="330">
        <v>2.02068563E7</v>
      </c>
      <c r="F4" s="330">
        <v>1.974912728E7</v>
      </c>
      <c r="G4" s="330">
        <v>1.953369093E7</v>
      </c>
      <c r="H4" s="330">
        <v>1.947576615E7</v>
      </c>
      <c r="I4" s="330">
        <v>3.70046494E7</v>
      </c>
      <c r="J4" s="331">
        <f t="shared" ref="J4:M4" si="4">18761659.23</f>
        <v>18761659.23</v>
      </c>
      <c r="K4" s="331">
        <f t="shared" si="4"/>
        <v>18761659.23</v>
      </c>
      <c r="L4" s="331">
        <f t="shared" si="4"/>
        <v>18761659.23</v>
      </c>
      <c r="M4" s="331">
        <f t="shared" si="4"/>
        <v>18761659.23</v>
      </c>
      <c r="N4" s="330">
        <f t="shared" ref="N4:N6" si="5">SUM(B4:M4)</f>
        <v>251485487.5</v>
      </c>
      <c r="O4" s="330">
        <f>'Conciliação DCF X EFISCO c AP'!N112</f>
        <v>249351931.8</v>
      </c>
      <c r="P4" s="328">
        <f t="shared" si="3"/>
        <v>2133555.74</v>
      </c>
    </row>
    <row r="5" ht="15.75" customHeight="1">
      <c r="A5" s="329" t="s">
        <v>224</v>
      </c>
      <c r="B5" s="330">
        <v>5039051.88</v>
      </c>
      <c r="C5" s="330">
        <v>5740689.69</v>
      </c>
      <c r="D5" s="330">
        <v>5387509.51</v>
      </c>
      <c r="E5" s="330">
        <v>5367342.14</v>
      </c>
      <c r="F5" s="330">
        <v>5375433.18</v>
      </c>
      <c r="G5" s="330">
        <v>5353495.72</v>
      </c>
      <c r="H5" s="330">
        <v>5343671.82</v>
      </c>
      <c r="I5" s="330">
        <v>1.017249615E7</v>
      </c>
      <c r="J5" s="330">
        <v>5124020.69</v>
      </c>
      <c r="K5" s="330">
        <v>5124795.4</v>
      </c>
      <c r="L5" s="330">
        <v>5123620.2</v>
      </c>
      <c r="M5" s="330">
        <v>5113775.27</v>
      </c>
      <c r="N5" s="330">
        <f t="shared" si="5"/>
        <v>68265901.65</v>
      </c>
      <c r="O5" s="330">
        <f>'Conciliação DCF X EFISCO c AP'!N113</f>
        <v>65694374.67</v>
      </c>
      <c r="P5" s="328">
        <f t="shared" si="3"/>
        <v>2571526.98</v>
      </c>
    </row>
    <row r="6" ht="15.75" customHeight="1">
      <c r="A6" s="332" t="s">
        <v>225</v>
      </c>
      <c r="B6" s="330">
        <v>0.0</v>
      </c>
      <c r="C6" s="330">
        <v>0.0</v>
      </c>
      <c r="D6" s="330">
        <v>0.0</v>
      </c>
      <c r="E6" s="330">
        <v>0.0</v>
      </c>
      <c r="F6" s="330">
        <v>0.0</v>
      </c>
      <c r="G6" s="330">
        <v>0.0</v>
      </c>
      <c r="H6" s="330">
        <v>0.0</v>
      </c>
      <c r="I6" s="330">
        <v>0.0</v>
      </c>
      <c r="J6" s="330">
        <v>0.0</v>
      </c>
      <c r="K6" s="330">
        <v>0.0</v>
      </c>
      <c r="L6" s="330">
        <v>0.0</v>
      </c>
      <c r="M6" s="330">
        <v>0.0</v>
      </c>
      <c r="N6" s="330">
        <f t="shared" si="5"/>
        <v>0</v>
      </c>
      <c r="O6" s="330">
        <f>'Conciliação DCF X EFISCO c AP'!N114</f>
        <v>0</v>
      </c>
      <c r="P6" s="328">
        <f t="shared" si="3"/>
        <v>0</v>
      </c>
      <c r="Q6" s="325"/>
      <c r="R6" s="325"/>
      <c r="S6" s="325"/>
      <c r="T6" s="325"/>
      <c r="U6" s="325"/>
      <c r="V6" s="325"/>
      <c r="W6" s="325"/>
      <c r="X6" s="325"/>
      <c r="Y6" s="325"/>
      <c r="Z6" s="325"/>
    </row>
    <row r="7" ht="15.75" customHeight="1">
      <c r="A7" s="326" t="s">
        <v>226</v>
      </c>
      <c r="B7" s="327">
        <f t="shared" ref="B7:N7" si="6">SUM(B8:B11)</f>
        <v>6332678.82</v>
      </c>
      <c r="C7" s="327">
        <f t="shared" si="6"/>
        <v>6657707.41</v>
      </c>
      <c r="D7" s="327">
        <f t="shared" si="6"/>
        <v>6511468.27</v>
      </c>
      <c r="E7" s="327">
        <f t="shared" si="6"/>
        <v>6568298.17</v>
      </c>
      <c r="F7" s="327">
        <f t="shared" si="6"/>
        <v>6562675.73</v>
      </c>
      <c r="G7" s="327">
        <f t="shared" si="6"/>
        <v>6649184.53</v>
      </c>
      <c r="H7" s="327">
        <f t="shared" si="6"/>
        <v>6642250.45</v>
      </c>
      <c r="I7" s="327">
        <f t="shared" si="6"/>
        <v>14767761.34</v>
      </c>
      <c r="J7" s="327">
        <f t="shared" si="6"/>
        <v>7431423.52</v>
      </c>
      <c r="K7" s="327">
        <f t="shared" si="6"/>
        <v>7431423.51</v>
      </c>
      <c r="L7" s="327">
        <f t="shared" si="6"/>
        <v>7448230.59</v>
      </c>
      <c r="M7" s="327">
        <f t="shared" si="6"/>
        <v>7449700.09</v>
      </c>
      <c r="N7" s="327">
        <f t="shared" si="6"/>
        <v>90452802.43</v>
      </c>
      <c r="O7" s="327">
        <f>'Conciliação DCF X EFISCO c AP'!N115</f>
        <v>94213049.99</v>
      </c>
      <c r="P7" s="328">
        <f t="shared" si="3"/>
        <v>-3760247.56</v>
      </c>
      <c r="Q7" s="325"/>
      <c r="R7" s="325"/>
      <c r="S7" s="325"/>
      <c r="T7" s="325"/>
      <c r="U7" s="325"/>
      <c r="V7" s="325"/>
      <c r="W7" s="325"/>
      <c r="X7" s="325"/>
      <c r="Y7" s="325"/>
      <c r="Z7" s="325"/>
    </row>
    <row r="8" ht="15.75" customHeight="1">
      <c r="A8" s="329" t="s">
        <v>227</v>
      </c>
      <c r="B8" s="330">
        <v>5250785.3</v>
      </c>
      <c r="C8" s="330">
        <v>5585187.4</v>
      </c>
      <c r="D8" s="330">
        <v>5429640.2</v>
      </c>
      <c r="E8" s="330">
        <v>5465102.42</v>
      </c>
      <c r="F8" s="330">
        <v>5465102.42</v>
      </c>
      <c r="G8" s="330">
        <v>5525353.81</v>
      </c>
      <c r="H8" s="330">
        <v>5521522.71</v>
      </c>
      <c r="I8" s="330">
        <v>1.256591286E7</v>
      </c>
      <c r="J8" s="330">
        <v>6282956.43</v>
      </c>
      <c r="K8" s="330">
        <v>6282956.43</v>
      </c>
      <c r="L8" s="330">
        <v>6304173.68</v>
      </c>
      <c r="M8" s="330">
        <v>6305643.18</v>
      </c>
      <c r="N8" s="330">
        <f t="shared" ref="N8:N11" si="7">SUM(B8:M8)</f>
        <v>75984336.84</v>
      </c>
      <c r="O8" s="330">
        <f>'Conciliação DCF X EFISCO c AP'!N116</f>
        <v>79505473.85</v>
      </c>
      <c r="P8" s="328">
        <f t="shared" si="3"/>
        <v>-3521137.01</v>
      </c>
    </row>
    <row r="9" ht="15.75" customHeight="1">
      <c r="A9" s="329" t="s">
        <v>228</v>
      </c>
      <c r="B9" s="330">
        <v>1081893.52</v>
      </c>
      <c r="C9" s="330">
        <v>1072520.01</v>
      </c>
      <c r="D9" s="330">
        <v>1081828.07</v>
      </c>
      <c r="E9" s="330">
        <v>1103195.75</v>
      </c>
      <c r="F9" s="330">
        <v>1097573.31</v>
      </c>
      <c r="G9" s="330">
        <v>1123830.72</v>
      </c>
      <c r="H9" s="330">
        <f>1173742.47-53014.73</f>
        <v>1120727.74</v>
      </c>
      <c r="I9" s="330">
        <v>2201848.48</v>
      </c>
      <c r="J9" s="330">
        <v>1148467.09</v>
      </c>
      <c r="K9" s="330">
        <v>1148467.08</v>
      </c>
      <c r="L9" s="330">
        <v>1144056.91</v>
      </c>
      <c r="M9" s="330">
        <v>1144056.91</v>
      </c>
      <c r="N9" s="330">
        <f t="shared" si="7"/>
        <v>14468465.59</v>
      </c>
      <c r="O9" s="330">
        <f>'Conciliação DCF X EFISCO c AP'!N117</f>
        <v>14707576.14</v>
      </c>
      <c r="P9" s="328">
        <f t="shared" si="3"/>
        <v>-239110.55</v>
      </c>
    </row>
    <row r="10" ht="15.75" customHeight="1">
      <c r="A10" s="332" t="s">
        <v>229</v>
      </c>
      <c r="B10" s="330">
        <v>0.0</v>
      </c>
      <c r="C10" s="330">
        <v>0.0</v>
      </c>
      <c r="D10" s="330">
        <v>0.0</v>
      </c>
      <c r="E10" s="330">
        <v>0.0</v>
      </c>
      <c r="F10" s="330">
        <v>0.0</v>
      </c>
      <c r="G10" s="330">
        <v>0.0</v>
      </c>
      <c r="H10" s="330">
        <v>0.0</v>
      </c>
      <c r="I10" s="330">
        <v>0.0</v>
      </c>
      <c r="J10" s="330">
        <v>0.0</v>
      </c>
      <c r="K10" s="330">
        <v>0.0</v>
      </c>
      <c r="L10" s="330">
        <v>0.0</v>
      </c>
      <c r="M10" s="330">
        <v>0.0</v>
      </c>
      <c r="N10" s="330">
        <f t="shared" si="7"/>
        <v>0</v>
      </c>
      <c r="O10" s="330">
        <f>'Conciliação DCF X EFISCO c AP'!N118</f>
        <v>0</v>
      </c>
      <c r="P10" s="328">
        <f t="shared" si="3"/>
        <v>0</v>
      </c>
      <c r="Q10" s="325"/>
      <c r="R10" s="325"/>
      <c r="S10" s="325"/>
      <c r="T10" s="325"/>
      <c r="U10" s="325"/>
      <c r="V10" s="325"/>
      <c r="W10" s="325"/>
      <c r="X10" s="325"/>
      <c r="Y10" s="325"/>
      <c r="Z10" s="325"/>
    </row>
    <row r="11" ht="15.75" customHeight="1">
      <c r="A11" s="333" t="s">
        <v>230</v>
      </c>
      <c r="B11" s="330">
        <v>0.0</v>
      </c>
      <c r="C11" s="330">
        <v>0.0</v>
      </c>
      <c r="D11" s="330">
        <v>0.0</v>
      </c>
      <c r="E11" s="330">
        <v>0.0</v>
      </c>
      <c r="F11" s="330">
        <v>0.0</v>
      </c>
      <c r="G11" s="330">
        <v>0.0</v>
      </c>
      <c r="H11" s="330">
        <v>0.0</v>
      </c>
      <c r="I11" s="330">
        <v>0.0</v>
      </c>
      <c r="J11" s="330">
        <v>0.0</v>
      </c>
      <c r="K11" s="330">
        <v>0.0</v>
      </c>
      <c r="L11" s="330">
        <v>0.0</v>
      </c>
      <c r="M11" s="330">
        <v>0.0</v>
      </c>
      <c r="N11" s="330">
        <f t="shared" si="7"/>
        <v>0</v>
      </c>
      <c r="O11" s="330">
        <f>'Conciliação DCF X EFISCO c AP'!N119</f>
        <v>0</v>
      </c>
      <c r="P11" s="328">
        <f t="shared" si="3"/>
        <v>0</v>
      </c>
      <c r="Q11" s="325"/>
      <c r="R11" s="325"/>
      <c r="S11" s="325"/>
      <c r="T11" s="325"/>
      <c r="U11" s="325"/>
      <c r="V11" s="325"/>
      <c r="W11" s="325"/>
      <c r="X11" s="325"/>
      <c r="Y11" s="325"/>
      <c r="Z11" s="325"/>
    </row>
    <row r="12" ht="15.75" customHeight="1">
      <c r="A12" s="326" t="s">
        <v>231</v>
      </c>
      <c r="B12" s="327">
        <f t="shared" ref="B12:N12" si="8">SUM(B13:B16)</f>
        <v>6332678.82</v>
      </c>
      <c r="C12" s="327">
        <f t="shared" si="8"/>
        <v>6657707.41</v>
      </c>
      <c r="D12" s="327">
        <f t="shared" si="8"/>
        <v>6523941.09</v>
      </c>
      <c r="E12" s="327">
        <f t="shared" si="8"/>
        <v>6568298.17</v>
      </c>
      <c r="F12" s="327">
        <f t="shared" si="8"/>
        <v>6576379.94</v>
      </c>
      <c r="G12" s="327">
        <f t="shared" si="8"/>
        <v>6650880.13</v>
      </c>
      <c r="H12" s="327">
        <f t="shared" si="8"/>
        <v>6642408.2</v>
      </c>
      <c r="I12" s="327">
        <f t="shared" si="8"/>
        <v>14767761.34</v>
      </c>
      <c r="J12" s="327">
        <f t="shared" si="8"/>
        <v>7431423.52</v>
      </c>
      <c r="K12" s="327">
        <f t="shared" si="8"/>
        <v>7431423.51</v>
      </c>
      <c r="L12" s="327">
        <f t="shared" si="8"/>
        <v>7448230.59</v>
      </c>
      <c r="M12" s="327">
        <f t="shared" si="8"/>
        <v>7449700.09</v>
      </c>
      <c r="N12" s="327">
        <f t="shared" si="8"/>
        <v>90480832.81</v>
      </c>
      <c r="O12" s="327">
        <f>'Conciliação DCF X EFISCO c AP'!N120</f>
        <v>94228607.55</v>
      </c>
      <c r="P12" s="328">
        <f t="shared" si="3"/>
        <v>-3747774.74</v>
      </c>
      <c r="Q12" s="325"/>
      <c r="R12" s="325"/>
      <c r="S12" s="325"/>
      <c r="T12" s="325"/>
      <c r="U12" s="325"/>
      <c r="V12" s="325"/>
      <c r="W12" s="325"/>
      <c r="X12" s="325"/>
      <c r="Y12" s="325"/>
      <c r="Z12" s="325"/>
    </row>
    <row r="13" ht="15.75" customHeight="1">
      <c r="A13" s="329" t="s">
        <v>232</v>
      </c>
      <c r="B13" s="334">
        <v>0.0</v>
      </c>
      <c r="C13" s="334">
        <v>0.0</v>
      </c>
      <c r="D13" s="334">
        <v>0.0</v>
      </c>
      <c r="E13" s="334">
        <v>0.0</v>
      </c>
      <c r="F13" s="334">
        <v>0.0</v>
      </c>
      <c r="G13" s="334">
        <v>0.0</v>
      </c>
      <c r="H13" s="334">
        <v>0.0</v>
      </c>
      <c r="I13" s="334">
        <v>0.0</v>
      </c>
      <c r="J13" s="334">
        <v>0.0</v>
      </c>
      <c r="K13" s="334">
        <v>0.0</v>
      </c>
      <c r="L13" s="334">
        <v>0.0</v>
      </c>
      <c r="M13" s="334">
        <v>0.0</v>
      </c>
      <c r="N13" s="330">
        <f t="shared" ref="N13:N17" si="9">SUM(B13:M13)</f>
        <v>0</v>
      </c>
      <c r="O13" s="330">
        <f>'Conciliação DCF X EFISCO c AP'!N121</f>
        <v>0</v>
      </c>
      <c r="P13" s="328">
        <f t="shared" si="3"/>
        <v>0</v>
      </c>
    </row>
    <row r="14" ht="15.75" customHeight="1">
      <c r="A14" s="329" t="s">
        <v>233</v>
      </c>
      <c r="B14" s="334">
        <v>0.0</v>
      </c>
      <c r="C14" s="334">
        <v>0.0</v>
      </c>
      <c r="D14" s="334">
        <v>0.0</v>
      </c>
      <c r="E14" s="334">
        <v>0.0</v>
      </c>
      <c r="F14" s="334">
        <v>0.0</v>
      </c>
      <c r="G14" s="334">
        <v>0.0</v>
      </c>
      <c r="H14" s="334">
        <v>0.0</v>
      </c>
      <c r="I14" s="334">
        <v>0.0</v>
      </c>
      <c r="J14" s="334">
        <v>0.0</v>
      </c>
      <c r="K14" s="334">
        <v>0.0</v>
      </c>
      <c r="L14" s="334">
        <v>0.0</v>
      </c>
      <c r="M14" s="334">
        <v>0.0</v>
      </c>
      <c r="N14" s="330">
        <f t="shared" si="9"/>
        <v>0</v>
      </c>
      <c r="O14" s="330">
        <f>'Conciliação DCF X EFISCO c AP'!N122</f>
        <v>0</v>
      </c>
      <c r="P14" s="328">
        <f t="shared" si="3"/>
        <v>0</v>
      </c>
    </row>
    <row r="15" ht="15.75" customHeight="1">
      <c r="A15" s="329" t="s">
        <v>234</v>
      </c>
      <c r="B15" s="334"/>
      <c r="C15" s="334"/>
      <c r="D15" s="330">
        <v>12472.82</v>
      </c>
      <c r="E15" s="334"/>
      <c r="F15" s="330">
        <v>13704.21</v>
      </c>
      <c r="G15" s="330">
        <v>1695.6</v>
      </c>
      <c r="H15" s="330">
        <v>157.75</v>
      </c>
      <c r="I15" s="334"/>
      <c r="J15" s="334"/>
      <c r="K15" s="334"/>
      <c r="L15" s="334"/>
      <c r="M15" s="334"/>
      <c r="N15" s="330">
        <f t="shared" si="9"/>
        <v>28030.38</v>
      </c>
      <c r="O15" s="330">
        <f>'Conciliação DCF X EFISCO c AP'!N123</f>
        <v>15557.56</v>
      </c>
      <c r="P15" s="328">
        <f t="shared" si="3"/>
        <v>12472.82</v>
      </c>
    </row>
    <row r="16" ht="15.75" customHeight="1">
      <c r="A16" s="329" t="s">
        <v>235</v>
      </c>
      <c r="B16" s="330">
        <v>6332678.82</v>
      </c>
      <c r="C16" s="330">
        <v>6657707.41</v>
      </c>
      <c r="D16" s="330">
        <v>6511468.27</v>
      </c>
      <c r="E16" s="330">
        <v>6568298.17</v>
      </c>
      <c r="F16" s="330">
        <v>6562675.73</v>
      </c>
      <c r="G16" s="330">
        <v>6649184.53</v>
      </c>
      <c r="H16" s="335">
        <f>6695265.18-53014.73</f>
        <v>6642250.45</v>
      </c>
      <c r="I16" s="330">
        <v>1.476776134E7</v>
      </c>
      <c r="J16" s="330">
        <v>7431423.52</v>
      </c>
      <c r="K16" s="330">
        <v>7431423.51</v>
      </c>
      <c r="L16" s="330">
        <v>7448230.59</v>
      </c>
      <c r="M16" s="330">
        <v>7449700.09</v>
      </c>
      <c r="N16" s="330">
        <f t="shared" si="9"/>
        <v>90452802.43</v>
      </c>
      <c r="O16" s="330">
        <f>'Conciliação DCF X EFISCO c AP'!N124</f>
        <v>94213049.99</v>
      </c>
      <c r="P16" s="328">
        <f t="shared" si="3"/>
        <v>-3760247.56</v>
      </c>
    </row>
    <row r="17" ht="15.75" customHeight="1">
      <c r="A17" s="336" t="s">
        <v>236</v>
      </c>
      <c r="B17" s="330">
        <v>0.0</v>
      </c>
      <c r="C17" s="330">
        <v>0.0</v>
      </c>
      <c r="D17" s="330">
        <v>12472.82</v>
      </c>
      <c r="E17" s="330">
        <v>0.0</v>
      </c>
      <c r="F17" s="330">
        <v>13704.21</v>
      </c>
      <c r="G17" s="330">
        <v>1695.6</v>
      </c>
      <c r="H17" s="330">
        <v>157.75</v>
      </c>
      <c r="I17" s="330">
        <v>0.0</v>
      </c>
      <c r="J17" s="330"/>
      <c r="K17" s="330"/>
      <c r="L17" s="330"/>
      <c r="M17" s="330"/>
      <c r="N17" s="330">
        <f t="shared" si="9"/>
        <v>28030.38</v>
      </c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</row>
    <row r="18" ht="15.75" customHeight="1">
      <c r="A18" s="337" t="s">
        <v>237</v>
      </c>
      <c r="B18" s="327">
        <f t="shared" ref="B18:M18" si="10">B2-B12-B17</f>
        <v>23387633.85</v>
      </c>
      <c r="C18" s="327">
        <f t="shared" si="10"/>
        <v>26660807.18</v>
      </c>
      <c r="D18" s="327">
        <f t="shared" si="10"/>
        <v>26562624.92</v>
      </c>
      <c r="E18" s="327">
        <f t="shared" si="10"/>
        <v>25574198.44</v>
      </c>
      <c r="F18" s="327">
        <f t="shared" si="10"/>
        <v>25097152.04</v>
      </c>
      <c r="G18" s="327">
        <f t="shared" si="10"/>
        <v>24883795.45</v>
      </c>
      <c r="H18" s="327">
        <f t="shared" si="10"/>
        <v>24819122.47</v>
      </c>
      <c r="I18" s="327">
        <f t="shared" si="10"/>
        <v>47177145.55</v>
      </c>
      <c r="J18" s="327">
        <f t="shared" si="10"/>
        <v>23885679.92</v>
      </c>
      <c r="K18" s="327">
        <f t="shared" si="10"/>
        <v>23886454.63</v>
      </c>
      <c r="L18" s="327">
        <f t="shared" si="10"/>
        <v>23885279.43</v>
      </c>
      <c r="M18" s="327">
        <f t="shared" si="10"/>
        <v>23875434.5</v>
      </c>
      <c r="N18" s="327">
        <f>N2-N16</f>
        <v>319751389.1</v>
      </c>
      <c r="O18" s="327">
        <f>'Conciliação DCF X EFISCO c AP'!N125</f>
        <v>315030748.9</v>
      </c>
      <c r="P18" s="328">
        <f>N18-O18</f>
        <v>4720640.28</v>
      </c>
      <c r="Q18" s="325"/>
      <c r="R18" s="325"/>
      <c r="S18" s="325"/>
      <c r="T18" s="325"/>
      <c r="U18" s="325"/>
      <c r="V18" s="325"/>
      <c r="W18" s="325"/>
      <c r="X18" s="325"/>
      <c r="Y18" s="325"/>
      <c r="Z18" s="325"/>
    </row>
    <row r="19" ht="15.75" customHeight="1">
      <c r="A19" s="329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5.75" customHeight="1">
      <c r="A20" s="34"/>
      <c r="B20" s="34">
        <f>'Conciliação DCF X EFISCO c AP'!B125</f>
        <v>25349122.08</v>
      </c>
      <c r="C20" s="34">
        <f>'Conciliação DCF X EFISCO c AP'!C125</f>
        <v>25074841.76</v>
      </c>
      <c r="D20" s="34">
        <f>'Conciliação DCF X EFISCO c AP'!D125</f>
        <v>25038509.51</v>
      </c>
      <c r="E20" s="34">
        <f>'Conciliação DCF X EFISCO c AP'!E125</f>
        <v>47396590.05</v>
      </c>
      <c r="F20" s="34">
        <f>'Conciliação DCF X EFISCO c AP'!F125</f>
        <v>24004046.83</v>
      </c>
      <c r="G20" s="34">
        <f>'Conciliação DCF X EFISCO c AP'!G125</f>
        <v>24007278.99</v>
      </c>
      <c r="H20" s="34">
        <f>'Conciliação DCF X EFISCO c AP'!H125</f>
        <v>23992933.93</v>
      </c>
      <c r="I20" s="34">
        <f>'Conciliação DCF X EFISCO c AP'!I125</f>
        <v>23948091.83</v>
      </c>
      <c r="J20" s="34">
        <f>'Conciliação DCF X EFISCO c AP'!J125</f>
        <v>24002698.64</v>
      </c>
      <c r="K20" s="34">
        <f>'Conciliação DCF X EFISCO c AP'!K125</f>
        <v>24030003.27</v>
      </c>
      <c r="L20" s="34">
        <f>'Conciliação DCF X EFISCO c AP'!L125</f>
        <v>24026120.23</v>
      </c>
      <c r="M20" s="34">
        <f>'Conciliação DCF X EFISCO c AP'!M125</f>
        <v>24160511.74</v>
      </c>
      <c r="N20" s="330">
        <f t="shared" ref="N20:N23" si="12">SUM(B20:M20)</f>
        <v>315030748.9</v>
      </c>
      <c r="O20" s="330">
        <v>9.045280243E7</v>
      </c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5.75" customHeight="1">
      <c r="A21" s="34"/>
      <c r="B21" s="34">
        <f t="shared" ref="B21:M21" si="11">B20-B18</f>
        <v>1961488.23</v>
      </c>
      <c r="C21" s="34">
        <f t="shared" si="11"/>
        <v>-1585965.42</v>
      </c>
      <c r="D21" s="34">
        <f t="shared" si="11"/>
        <v>-1524115.41</v>
      </c>
      <c r="E21" s="34">
        <f t="shared" si="11"/>
        <v>21822391.61</v>
      </c>
      <c r="F21" s="34">
        <f t="shared" si="11"/>
        <v>-1093105.21</v>
      </c>
      <c r="G21" s="34">
        <f t="shared" si="11"/>
        <v>-876516.46</v>
      </c>
      <c r="H21" s="34">
        <f t="shared" si="11"/>
        <v>-826188.54</v>
      </c>
      <c r="I21" s="34">
        <f t="shared" si="11"/>
        <v>-23229053.72</v>
      </c>
      <c r="J21" s="34">
        <f t="shared" si="11"/>
        <v>117018.72</v>
      </c>
      <c r="K21" s="34">
        <f t="shared" si="11"/>
        <v>143548.64</v>
      </c>
      <c r="L21" s="34">
        <f t="shared" si="11"/>
        <v>140840.8</v>
      </c>
      <c r="M21" s="34">
        <f t="shared" si="11"/>
        <v>285077.24</v>
      </c>
      <c r="N21" s="330">
        <f t="shared" si="12"/>
        <v>-4664579.52</v>
      </c>
      <c r="O21" s="330">
        <v>3.1889360485999995E8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5.75" customHeight="1">
      <c r="A22" s="34"/>
      <c r="B22" s="34">
        <f>'Conciliação DCF X EFISCO c AP'!B23</f>
        <v>139777.76</v>
      </c>
      <c r="C22" s="34">
        <f>'Conciliação DCF X EFISCO c AP'!C23</f>
        <v>139777.76</v>
      </c>
      <c r="D22" s="34">
        <f>'Conciliação DCF X EFISCO c AP'!D23</f>
        <v>142135.85</v>
      </c>
      <c r="E22" s="34">
        <f>'Conciliação DCF X EFISCO c AP'!E23</f>
        <v>265122.12</v>
      </c>
      <c r="F22" s="34">
        <f>'Conciliação DCF X EFISCO c AP'!F23</f>
        <v>127100.97</v>
      </c>
      <c r="G22" s="34">
        <f>'Conciliação DCF X EFISCO c AP'!G23</f>
        <v>127100.97</v>
      </c>
      <c r="H22" s="34">
        <f>'Conciliação DCF X EFISCO c AP'!H23</f>
        <v>127100.97</v>
      </c>
      <c r="I22" s="34">
        <f>'Conciliação DCF X EFISCO c AP'!I23</f>
        <v>127100.97</v>
      </c>
      <c r="J22" s="34">
        <f>'Conciliação DCF X EFISCO c AP'!J23</f>
        <v>127100.97</v>
      </c>
      <c r="K22" s="34">
        <f>'Conciliação DCF X EFISCO c AP'!K23</f>
        <v>127100.97</v>
      </c>
      <c r="L22" s="34">
        <f>'Conciliação DCF X EFISCO c AP'!L23</f>
        <v>127100.97</v>
      </c>
      <c r="M22" s="34">
        <f>'Conciliação DCF X EFISCO c AP'!M23</f>
        <v>131808.48</v>
      </c>
      <c r="N22" s="330">
        <f t="shared" si="12"/>
        <v>1708328.76</v>
      </c>
      <c r="O22" s="330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5.75" customHeight="1">
      <c r="A23" s="33"/>
      <c r="B23" s="34">
        <f t="shared" ref="B23:M23" si="13">B21+B22</f>
        <v>2101265.99</v>
      </c>
      <c r="C23" s="34">
        <f t="shared" si="13"/>
        <v>-1446187.66</v>
      </c>
      <c r="D23" s="34">
        <f t="shared" si="13"/>
        <v>-1381979.56</v>
      </c>
      <c r="E23" s="34">
        <f t="shared" si="13"/>
        <v>22087513.73</v>
      </c>
      <c r="F23" s="34">
        <f t="shared" si="13"/>
        <v>-966004.24</v>
      </c>
      <c r="G23" s="34">
        <f t="shared" si="13"/>
        <v>-749415.49</v>
      </c>
      <c r="H23" s="34">
        <f t="shared" si="13"/>
        <v>-699087.57</v>
      </c>
      <c r="I23" s="34">
        <f t="shared" si="13"/>
        <v>-23101952.75</v>
      </c>
      <c r="J23" s="34">
        <f t="shared" si="13"/>
        <v>244119.69</v>
      </c>
      <c r="K23" s="34">
        <f t="shared" si="13"/>
        <v>270649.61</v>
      </c>
      <c r="L23" s="34">
        <f t="shared" si="13"/>
        <v>267941.77</v>
      </c>
      <c r="M23" s="34">
        <f t="shared" si="13"/>
        <v>416885.72</v>
      </c>
      <c r="N23" s="330">
        <f t="shared" si="12"/>
        <v>-2956250.76</v>
      </c>
      <c r="O23" s="330"/>
    </row>
    <row r="24" ht="15.7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5.75" customHeight="1">
      <c r="B25" s="338"/>
    </row>
    <row r="26" ht="15.75" customHeight="1">
      <c r="B26" s="338"/>
    </row>
    <row r="27" ht="15.75" customHeight="1">
      <c r="B27" s="338"/>
    </row>
    <row r="28" ht="15.75" customHeight="1">
      <c r="A28" s="33"/>
      <c r="B28" s="3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ht="15.7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ht="15.7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ht="15.7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ht="15.7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ht="15.75" customHeigh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</row>
    <row r="34" ht="15.75" customHeight="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ht="15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ht="15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ht="15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45.57"/>
    <col customWidth="1" min="2" max="2" width="17.57"/>
    <col customWidth="1" min="3" max="4" width="14.57"/>
    <col customWidth="1" min="5" max="5" width="15.71"/>
    <col customWidth="1" min="6" max="6" width="10.86"/>
    <col customWidth="1" min="7" max="7" width="24.71"/>
    <col customWidth="1" min="8" max="8" width="14.57"/>
    <col customWidth="1" min="9" max="9" width="16.86"/>
    <col customWidth="1" min="10" max="10" width="18.43"/>
    <col customWidth="1" min="11" max="11" width="11.14"/>
    <col customWidth="1" min="12" max="12" width="10.57"/>
    <col customWidth="1" min="13" max="13" width="11.29"/>
    <col customWidth="1" min="14" max="14" width="11.57"/>
    <col customWidth="1" min="15" max="15" width="11.86"/>
  </cols>
  <sheetData>
    <row r="1" ht="15.75" customHeight="1">
      <c r="A1" s="40" t="s">
        <v>96</v>
      </c>
      <c r="B1" s="41"/>
      <c r="C1" s="41"/>
      <c r="D1" s="41"/>
      <c r="E1" s="41"/>
      <c r="F1" s="41"/>
      <c r="G1" s="41"/>
      <c r="H1" s="41"/>
      <c r="I1" s="41"/>
      <c r="J1" s="42"/>
      <c r="K1" s="340"/>
      <c r="L1" s="340"/>
      <c r="M1" s="340"/>
      <c r="N1" s="340"/>
      <c r="O1" s="340"/>
      <c r="P1" s="43"/>
      <c r="Q1" s="43"/>
      <c r="R1" s="43"/>
      <c r="S1" s="43"/>
      <c r="T1" s="43"/>
    </row>
    <row r="2" ht="15.75" customHeight="1">
      <c r="A2" s="40" t="s">
        <v>97</v>
      </c>
      <c r="B2" s="41"/>
      <c r="C2" s="41"/>
      <c r="D2" s="41"/>
      <c r="E2" s="41"/>
      <c r="F2" s="41"/>
      <c r="G2" s="41"/>
      <c r="H2" s="41"/>
      <c r="I2" s="41"/>
      <c r="J2" s="42"/>
      <c r="K2" s="340"/>
      <c r="L2" s="340"/>
      <c r="M2" s="340"/>
      <c r="N2" s="340"/>
      <c r="O2" s="340"/>
      <c r="P2" s="43"/>
      <c r="Q2" s="43"/>
      <c r="R2" s="43"/>
      <c r="S2" s="43"/>
      <c r="T2" s="43"/>
    </row>
    <row r="3" ht="15.75" customHeight="1">
      <c r="A3" s="40" t="s">
        <v>98</v>
      </c>
      <c r="B3" s="41"/>
      <c r="C3" s="41"/>
      <c r="D3" s="41"/>
      <c r="E3" s="41"/>
      <c r="F3" s="41"/>
      <c r="G3" s="41"/>
      <c r="H3" s="41"/>
      <c r="I3" s="41"/>
      <c r="J3" s="42"/>
      <c r="K3" s="340"/>
      <c r="L3" s="340"/>
      <c r="M3" s="340"/>
      <c r="N3" s="340"/>
      <c r="O3" s="340"/>
      <c r="P3" s="43"/>
      <c r="Q3" s="43"/>
      <c r="R3" s="43"/>
      <c r="S3" s="43"/>
      <c r="T3" s="43"/>
    </row>
    <row r="4" ht="15.75" customHeight="1">
      <c r="A4" s="40" t="s">
        <v>99</v>
      </c>
      <c r="B4" s="41"/>
      <c r="C4" s="41"/>
      <c r="D4" s="41"/>
      <c r="E4" s="41"/>
      <c r="F4" s="41"/>
      <c r="G4" s="41"/>
      <c r="H4" s="41"/>
      <c r="I4" s="41"/>
      <c r="J4" s="42"/>
      <c r="K4" s="340"/>
      <c r="L4" s="340"/>
      <c r="M4" s="340"/>
      <c r="N4" s="340"/>
      <c r="O4" s="340"/>
      <c r="P4" s="43"/>
      <c r="Q4" s="43"/>
      <c r="R4" s="43"/>
      <c r="S4" s="43"/>
      <c r="T4" s="43"/>
    </row>
    <row r="5" ht="15.75" customHeight="1">
      <c r="A5" s="44" t="s">
        <v>238</v>
      </c>
      <c r="B5" s="41"/>
      <c r="C5" s="41"/>
      <c r="D5" s="41"/>
      <c r="E5" s="41"/>
      <c r="F5" s="41"/>
      <c r="G5" s="41"/>
      <c r="H5" s="41"/>
      <c r="I5" s="41"/>
      <c r="J5" s="42"/>
      <c r="K5" s="341"/>
      <c r="L5" s="341"/>
      <c r="M5" s="341"/>
      <c r="N5" s="341"/>
      <c r="O5" s="341"/>
      <c r="P5" s="43"/>
      <c r="Q5" s="43"/>
      <c r="R5" s="43"/>
      <c r="S5" s="43"/>
      <c r="T5" s="43"/>
    </row>
    <row r="6" ht="15.75" customHeight="1">
      <c r="A6" s="40" t="s">
        <v>101</v>
      </c>
      <c r="B6" s="41"/>
      <c r="C6" s="41"/>
      <c r="D6" s="41"/>
      <c r="E6" s="41"/>
      <c r="F6" s="41"/>
      <c r="G6" s="41"/>
      <c r="H6" s="41"/>
      <c r="I6" s="41"/>
      <c r="J6" s="42"/>
      <c r="K6" s="340"/>
      <c r="L6" s="340"/>
      <c r="M6" s="340"/>
      <c r="N6" s="340"/>
      <c r="O6" s="340"/>
      <c r="P6" s="43"/>
      <c r="Q6" s="43"/>
      <c r="R6" s="43"/>
      <c r="S6" s="43"/>
      <c r="T6" s="43"/>
    </row>
    <row r="7" ht="15.75" customHeight="1">
      <c r="A7" s="40" t="s">
        <v>239</v>
      </c>
      <c r="B7" s="41"/>
      <c r="C7" s="41"/>
      <c r="D7" s="41"/>
      <c r="E7" s="41"/>
      <c r="F7" s="41"/>
      <c r="G7" s="41"/>
      <c r="H7" s="41"/>
      <c r="I7" s="41"/>
      <c r="J7" s="42"/>
      <c r="K7" s="340"/>
      <c r="L7" s="340"/>
      <c r="M7" s="340"/>
      <c r="N7" s="340"/>
      <c r="O7" s="340"/>
      <c r="P7" s="43"/>
      <c r="Q7" s="43"/>
      <c r="R7" s="43"/>
      <c r="S7" s="43"/>
      <c r="T7" s="43"/>
    </row>
    <row r="8" ht="15.75" customHeight="1">
      <c r="A8" s="40" t="s">
        <v>240</v>
      </c>
      <c r="B8" s="41"/>
      <c r="C8" s="41"/>
      <c r="D8" s="41"/>
      <c r="E8" s="41"/>
      <c r="F8" s="41"/>
      <c r="G8" s="41"/>
      <c r="H8" s="41"/>
      <c r="I8" s="41"/>
      <c r="J8" s="42"/>
      <c r="K8" s="342"/>
      <c r="L8" s="342"/>
      <c r="M8" s="43"/>
      <c r="N8" s="43"/>
      <c r="O8" s="43"/>
      <c r="P8" s="43"/>
      <c r="Q8" s="43"/>
      <c r="R8" s="43"/>
      <c r="S8" s="43"/>
      <c r="T8" s="43"/>
    </row>
    <row r="9" ht="15.75" customHeight="1">
      <c r="A9" s="46" t="s">
        <v>241</v>
      </c>
      <c r="C9" s="343"/>
      <c r="D9" s="343"/>
      <c r="E9" s="343"/>
      <c r="F9" s="343"/>
      <c r="G9" s="343"/>
      <c r="H9" s="343"/>
      <c r="I9" s="343"/>
      <c r="J9" s="344" t="s">
        <v>242</v>
      </c>
      <c r="K9" s="342"/>
      <c r="L9" s="342"/>
      <c r="M9" s="43"/>
      <c r="N9" s="43"/>
      <c r="O9" s="43"/>
      <c r="P9" s="43"/>
      <c r="Q9" s="43"/>
      <c r="R9" s="43"/>
      <c r="S9" s="43"/>
      <c r="T9" s="43"/>
    </row>
    <row r="10" ht="15.75" customHeight="1">
      <c r="A10" s="345" t="s">
        <v>243</v>
      </c>
      <c r="B10" s="53" t="s">
        <v>244</v>
      </c>
      <c r="C10" s="61" t="s">
        <v>245</v>
      </c>
      <c r="D10" s="62"/>
      <c r="E10" s="62"/>
      <c r="F10" s="63"/>
      <c r="G10" s="53" t="s">
        <v>246</v>
      </c>
      <c r="H10" s="346" t="s">
        <v>247</v>
      </c>
      <c r="I10" s="53" t="s">
        <v>248</v>
      </c>
      <c r="J10" s="53" t="s">
        <v>249</v>
      </c>
      <c r="K10" s="342"/>
      <c r="L10" s="342"/>
      <c r="N10" s="43"/>
      <c r="O10" s="43"/>
      <c r="P10" s="43"/>
      <c r="Q10" s="43"/>
      <c r="R10" s="43"/>
      <c r="S10" s="43"/>
      <c r="T10" s="43"/>
    </row>
    <row r="11" ht="15.75" customHeight="1">
      <c r="A11" s="57"/>
      <c r="B11" s="57"/>
      <c r="C11" s="61" t="s">
        <v>250</v>
      </c>
      <c r="D11" s="63"/>
      <c r="E11" s="346" t="s">
        <v>251</v>
      </c>
      <c r="F11" s="53" t="s">
        <v>252</v>
      </c>
      <c r="G11" s="57"/>
      <c r="H11" s="57"/>
      <c r="I11" s="57"/>
      <c r="J11" s="57"/>
      <c r="K11" s="342"/>
      <c r="L11" s="342"/>
      <c r="M11" s="43"/>
      <c r="N11" s="43"/>
      <c r="O11" s="43"/>
      <c r="P11" s="43"/>
      <c r="Q11" s="43"/>
      <c r="R11" s="43"/>
      <c r="S11" s="43"/>
      <c r="T11" s="43"/>
    </row>
    <row r="12" ht="15.75" customHeight="1">
      <c r="A12" s="65"/>
      <c r="B12" s="65"/>
      <c r="C12" s="91" t="s">
        <v>253</v>
      </c>
      <c r="D12" s="347" t="s">
        <v>254</v>
      </c>
      <c r="E12" s="65"/>
      <c r="F12" s="65"/>
      <c r="G12" s="65"/>
      <c r="H12" s="65"/>
      <c r="I12" s="65"/>
      <c r="J12" s="65"/>
      <c r="K12" s="342"/>
      <c r="L12" s="342"/>
      <c r="M12" s="43"/>
      <c r="N12" s="43"/>
      <c r="O12" s="43"/>
      <c r="P12" s="43"/>
      <c r="Q12" s="43"/>
      <c r="R12" s="43"/>
      <c r="S12" s="43"/>
      <c r="T12" s="43"/>
    </row>
    <row r="13" ht="15.75" customHeight="1">
      <c r="A13" s="348" t="s">
        <v>255</v>
      </c>
      <c r="B13" s="349">
        <f t="shared" ref="B13:I13" si="1">SUM(B14:B15)</f>
        <v>54109561.87</v>
      </c>
      <c r="C13" s="349">
        <f t="shared" si="1"/>
        <v>0</v>
      </c>
      <c r="D13" s="349">
        <f t="shared" si="1"/>
        <v>1427405.75</v>
      </c>
      <c r="E13" s="349">
        <f t="shared" si="1"/>
        <v>0</v>
      </c>
      <c r="F13" s="349">
        <f t="shared" si="1"/>
        <v>1812717.6</v>
      </c>
      <c r="G13" s="349">
        <f t="shared" si="1"/>
        <v>50869438.52</v>
      </c>
      <c r="H13" s="349">
        <f t="shared" si="1"/>
        <v>0</v>
      </c>
      <c r="I13" s="349">
        <f t="shared" si="1"/>
        <v>0</v>
      </c>
      <c r="J13" s="349">
        <f t="shared" ref="J13:J22" si="2">G13-H13</f>
        <v>50869438.52</v>
      </c>
      <c r="K13" s="342"/>
      <c r="L13" s="342"/>
      <c r="M13" s="43"/>
      <c r="N13" s="43"/>
      <c r="O13" s="43"/>
      <c r="P13" s="43"/>
      <c r="Q13" s="43"/>
      <c r="R13" s="43"/>
      <c r="S13" s="43"/>
      <c r="T13" s="43"/>
    </row>
    <row r="14" ht="15.75" customHeight="1">
      <c r="A14" s="350" t="s">
        <v>256</v>
      </c>
      <c r="B14" s="351">
        <v>5.410956187E7</v>
      </c>
      <c r="C14" s="351">
        <v>0.0</v>
      </c>
      <c r="D14" s="351">
        <v>1427405.75</v>
      </c>
      <c r="E14" s="351">
        <v>0.0</v>
      </c>
      <c r="F14" s="351">
        <v>1812717.6</v>
      </c>
      <c r="G14" s="351">
        <f t="shared" ref="G14:G22" si="3">B14-C14-D14-E14-F14</f>
        <v>50869438.52</v>
      </c>
      <c r="H14" s="351">
        <v>0.0</v>
      </c>
      <c r="I14" s="351">
        <v>0.0</v>
      </c>
      <c r="J14" s="351">
        <f t="shared" si="2"/>
        <v>50869438.52</v>
      </c>
      <c r="K14" s="342"/>
      <c r="L14" s="342"/>
      <c r="M14" s="43"/>
      <c r="N14" s="43"/>
      <c r="O14" s="43"/>
      <c r="P14" s="43"/>
      <c r="Q14" s="43"/>
      <c r="R14" s="43"/>
      <c r="S14" s="43"/>
      <c r="T14" s="43"/>
    </row>
    <row r="15" ht="15.75" customHeight="1">
      <c r="A15" s="350" t="s">
        <v>257</v>
      </c>
      <c r="B15" s="351">
        <v>0.0</v>
      </c>
      <c r="C15" s="351">
        <v>0.0</v>
      </c>
      <c r="D15" s="351">
        <v>0.0</v>
      </c>
      <c r="E15" s="351">
        <v>0.0</v>
      </c>
      <c r="F15" s="351">
        <v>0.0</v>
      </c>
      <c r="G15" s="351">
        <f t="shared" si="3"/>
        <v>0</v>
      </c>
      <c r="H15" s="351">
        <v>0.0</v>
      </c>
      <c r="I15" s="351">
        <v>0.0</v>
      </c>
      <c r="J15" s="351">
        <f t="shared" si="2"/>
        <v>0</v>
      </c>
      <c r="K15" s="342"/>
      <c r="L15" s="342"/>
      <c r="M15" s="43"/>
      <c r="N15" s="43"/>
      <c r="O15" s="43"/>
      <c r="P15" s="43"/>
      <c r="Q15" s="43"/>
      <c r="R15" s="43"/>
      <c r="S15" s="43"/>
      <c r="T15" s="43"/>
    </row>
    <row r="16" ht="15.75" customHeight="1">
      <c r="A16" s="348" t="s">
        <v>258</v>
      </c>
      <c r="B16" s="352">
        <f>SUM(B17:B22)</f>
        <v>37200531.56</v>
      </c>
      <c r="C16" s="352">
        <v>0.0</v>
      </c>
      <c r="D16" s="352">
        <v>0.0</v>
      </c>
      <c r="E16" s="352">
        <v>0.0</v>
      </c>
      <c r="F16" s="352">
        <v>0.0</v>
      </c>
      <c r="G16" s="352">
        <f t="shared" si="3"/>
        <v>37200531.56</v>
      </c>
      <c r="H16" s="352">
        <f t="shared" ref="H16:I16" si="4">SUM(H17:H22)</f>
        <v>0</v>
      </c>
      <c r="I16" s="352">
        <f t="shared" si="4"/>
        <v>0</v>
      </c>
      <c r="J16" s="349">
        <f t="shared" si="2"/>
        <v>37200531.56</v>
      </c>
      <c r="K16" s="342"/>
      <c r="L16" s="342"/>
      <c r="M16" s="43"/>
      <c r="N16" s="43"/>
      <c r="O16" s="43"/>
      <c r="P16" s="43"/>
      <c r="Q16" s="43"/>
      <c r="R16" s="43"/>
      <c r="S16" s="43"/>
      <c r="T16" s="43"/>
    </row>
    <row r="17" ht="15.75" customHeight="1">
      <c r="A17" s="350" t="s">
        <v>259</v>
      </c>
      <c r="B17" s="351">
        <v>0.0</v>
      </c>
      <c r="C17" s="351">
        <v>0.0</v>
      </c>
      <c r="D17" s="351">
        <v>0.0</v>
      </c>
      <c r="E17" s="351">
        <v>0.0</v>
      </c>
      <c r="F17" s="351">
        <v>0.0</v>
      </c>
      <c r="G17" s="351">
        <f t="shared" si="3"/>
        <v>0</v>
      </c>
      <c r="H17" s="351">
        <v>0.0</v>
      </c>
      <c r="I17" s="351">
        <v>0.0</v>
      </c>
      <c r="J17" s="351">
        <f t="shared" si="2"/>
        <v>0</v>
      </c>
      <c r="K17" s="342"/>
      <c r="L17" s="342"/>
      <c r="M17" s="43"/>
      <c r="N17" s="43"/>
      <c r="O17" s="43"/>
      <c r="P17" s="43"/>
      <c r="Q17" s="43"/>
      <c r="R17" s="43"/>
      <c r="S17" s="43"/>
      <c r="T17" s="43"/>
    </row>
    <row r="18" ht="15.75" customHeight="1">
      <c r="A18" s="350" t="s">
        <v>260</v>
      </c>
      <c r="B18" s="351">
        <v>0.0</v>
      </c>
      <c r="C18" s="351">
        <v>0.0</v>
      </c>
      <c r="D18" s="351">
        <v>0.0</v>
      </c>
      <c r="E18" s="351">
        <v>0.0</v>
      </c>
      <c r="F18" s="351">
        <v>0.0</v>
      </c>
      <c r="G18" s="351">
        <f t="shared" si="3"/>
        <v>0</v>
      </c>
      <c r="H18" s="351">
        <v>0.0</v>
      </c>
      <c r="I18" s="351">
        <v>0.0</v>
      </c>
      <c r="J18" s="351">
        <f t="shared" si="2"/>
        <v>0</v>
      </c>
      <c r="K18" s="342"/>
      <c r="L18" s="342"/>
      <c r="M18" s="43"/>
      <c r="N18" s="43"/>
      <c r="O18" s="43"/>
      <c r="P18" s="43"/>
      <c r="Q18" s="43"/>
      <c r="R18" s="43"/>
      <c r="S18" s="43"/>
      <c r="T18" s="43"/>
    </row>
    <row r="19" ht="15.75" customHeight="1">
      <c r="A19" s="350" t="s">
        <v>261</v>
      </c>
      <c r="B19" s="351">
        <v>2731007.44</v>
      </c>
      <c r="C19" s="351">
        <v>0.0</v>
      </c>
      <c r="D19" s="351">
        <v>0.0</v>
      </c>
      <c r="E19" s="351">
        <v>0.0</v>
      </c>
      <c r="F19" s="351">
        <v>0.0</v>
      </c>
      <c r="G19" s="351">
        <f t="shared" si="3"/>
        <v>2731007.44</v>
      </c>
      <c r="H19" s="351">
        <v>0.0</v>
      </c>
      <c r="I19" s="351">
        <v>0.0</v>
      </c>
      <c r="J19" s="351">
        <f t="shared" si="2"/>
        <v>2731007.44</v>
      </c>
      <c r="K19" s="342"/>
      <c r="L19" s="342"/>
      <c r="M19" s="43"/>
      <c r="N19" s="43"/>
      <c r="O19" s="43"/>
      <c r="P19" s="43"/>
      <c r="Q19" s="43"/>
      <c r="R19" s="43"/>
      <c r="S19" s="43"/>
      <c r="T19" s="43"/>
    </row>
    <row r="20" ht="15.75" customHeight="1">
      <c r="A20" s="350" t="s">
        <v>262</v>
      </c>
      <c r="B20" s="351">
        <v>0.0</v>
      </c>
      <c r="C20" s="351">
        <v>0.0</v>
      </c>
      <c r="D20" s="351">
        <v>0.0</v>
      </c>
      <c r="E20" s="351">
        <v>0.0</v>
      </c>
      <c r="F20" s="351">
        <v>0.0</v>
      </c>
      <c r="G20" s="351">
        <f t="shared" si="3"/>
        <v>0</v>
      </c>
      <c r="H20" s="351">
        <v>0.0</v>
      </c>
      <c r="I20" s="351">
        <v>0.0</v>
      </c>
      <c r="J20" s="351">
        <f t="shared" si="2"/>
        <v>0</v>
      </c>
      <c r="K20" s="342"/>
      <c r="L20" s="342"/>
      <c r="M20" s="43"/>
      <c r="N20" s="43"/>
      <c r="O20" s="43"/>
      <c r="P20" s="43"/>
      <c r="Q20" s="43"/>
      <c r="R20" s="43"/>
      <c r="S20" s="43"/>
      <c r="T20" s="43"/>
    </row>
    <row r="21" ht="15.75" customHeight="1">
      <c r="A21" s="350" t="s">
        <v>263</v>
      </c>
      <c r="B21" s="351">
        <v>0.0</v>
      </c>
      <c r="C21" s="351">
        <v>0.0</v>
      </c>
      <c r="D21" s="351">
        <v>0.0</v>
      </c>
      <c r="E21" s="351">
        <v>0.0</v>
      </c>
      <c r="F21" s="351">
        <v>0.0</v>
      </c>
      <c r="G21" s="351">
        <f t="shared" si="3"/>
        <v>0</v>
      </c>
      <c r="H21" s="351">
        <v>0.0</v>
      </c>
      <c r="I21" s="351">
        <v>0.0</v>
      </c>
      <c r="J21" s="351">
        <f t="shared" si="2"/>
        <v>0</v>
      </c>
      <c r="K21" s="342"/>
      <c r="L21" s="342"/>
      <c r="M21" s="43"/>
      <c r="N21" s="43"/>
      <c r="O21" s="43"/>
      <c r="P21" s="43"/>
      <c r="Q21" s="43"/>
      <c r="R21" s="43"/>
      <c r="S21" s="43"/>
      <c r="T21" s="43"/>
    </row>
    <row r="22" ht="15.75" customHeight="1">
      <c r="A22" s="350" t="s">
        <v>264</v>
      </c>
      <c r="B22" s="351">
        <v>3.446952412E7</v>
      </c>
      <c r="C22" s="351">
        <v>0.0</v>
      </c>
      <c r="D22" s="351">
        <v>0.0</v>
      </c>
      <c r="E22" s="351">
        <v>0.0</v>
      </c>
      <c r="F22" s="351">
        <v>0.0</v>
      </c>
      <c r="G22" s="351">
        <f t="shared" si="3"/>
        <v>34469524.12</v>
      </c>
      <c r="H22" s="351">
        <v>0.0</v>
      </c>
      <c r="I22" s="351">
        <v>0.0</v>
      </c>
      <c r="J22" s="351">
        <f t="shared" si="2"/>
        <v>34469524.12</v>
      </c>
      <c r="K22" s="342"/>
      <c r="L22" s="342"/>
      <c r="M22" s="43"/>
      <c r="N22" s="43"/>
      <c r="O22" s="43"/>
      <c r="P22" s="43"/>
      <c r="Q22" s="43"/>
      <c r="R22" s="43"/>
      <c r="S22" s="43"/>
      <c r="T22" s="43"/>
    </row>
    <row r="23" ht="15.75" customHeight="1">
      <c r="A23" s="353" t="s">
        <v>265</v>
      </c>
      <c r="B23" s="354">
        <f t="shared" ref="B23:J23" si="5">B13+B16</f>
        <v>91310093.43</v>
      </c>
      <c r="C23" s="354">
        <f t="shared" si="5"/>
        <v>0</v>
      </c>
      <c r="D23" s="354">
        <f t="shared" si="5"/>
        <v>1427405.75</v>
      </c>
      <c r="E23" s="354">
        <f t="shared" si="5"/>
        <v>0</v>
      </c>
      <c r="F23" s="354">
        <f t="shared" si="5"/>
        <v>1812717.6</v>
      </c>
      <c r="G23" s="354">
        <f t="shared" si="5"/>
        <v>88069970.08</v>
      </c>
      <c r="H23" s="354">
        <f t="shared" si="5"/>
        <v>0</v>
      </c>
      <c r="I23" s="354">
        <f t="shared" si="5"/>
        <v>0</v>
      </c>
      <c r="J23" s="354">
        <f t="shared" si="5"/>
        <v>88069970.08</v>
      </c>
      <c r="K23" s="103"/>
      <c r="L23" s="103"/>
      <c r="M23" s="76"/>
      <c r="N23" s="76"/>
      <c r="O23" s="76"/>
      <c r="P23" s="76"/>
      <c r="Q23" s="76"/>
      <c r="R23" s="76"/>
      <c r="S23" s="76"/>
      <c r="T23" s="76"/>
    </row>
    <row r="24" ht="15.75" customHeight="1">
      <c r="A24" s="102" t="s">
        <v>266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42"/>
      <c r="L24" s="342"/>
      <c r="M24" s="43"/>
      <c r="N24" s="43"/>
      <c r="O24" s="43"/>
      <c r="P24" s="43"/>
      <c r="Q24" s="43"/>
      <c r="R24" s="43"/>
      <c r="S24" s="43"/>
      <c r="T24" s="43"/>
    </row>
    <row r="25" ht="10.5" customHeight="1">
      <c r="A25" s="102" t="s">
        <v>109</v>
      </c>
      <c r="K25" s="342"/>
      <c r="L25" s="342"/>
      <c r="M25" s="43"/>
      <c r="N25" s="43"/>
      <c r="O25" s="43"/>
      <c r="P25" s="43"/>
      <c r="Q25" s="43"/>
      <c r="R25" s="43"/>
      <c r="S25" s="43"/>
      <c r="T25" s="43"/>
    </row>
    <row r="26" ht="7.5" customHeight="1">
      <c r="A26" s="102" t="s">
        <v>267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43"/>
      <c r="N26" s="43"/>
      <c r="O26" s="43"/>
      <c r="P26" s="43"/>
      <c r="Q26" s="43"/>
      <c r="R26" s="43"/>
      <c r="S26" s="43"/>
      <c r="T26" s="43"/>
    </row>
    <row r="27" ht="8.25" customHeight="1">
      <c r="A27" s="102" t="s">
        <v>268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ht="15.7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ht="15.75" customHeight="1">
      <c r="A29" s="104" t="s">
        <v>269</v>
      </c>
      <c r="B29" s="105"/>
      <c r="C29" s="105"/>
      <c r="D29" s="105"/>
      <c r="E29" s="105"/>
      <c r="F29" s="105"/>
      <c r="G29" s="105"/>
      <c r="H29" s="105"/>
      <c r="I29" s="105"/>
      <c r="J29" s="106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ht="15.75" customHeight="1">
      <c r="A30" s="109" t="s">
        <v>270</v>
      </c>
      <c r="B30" s="110"/>
      <c r="C30" s="110"/>
      <c r="D30" s="110"/>
      <c r="E30" s="110"/>
      <c r="F30" s="110"/>
      <c r="G30" s="110"/>
      <c r="H30" s="110"/>
      <c r="I30" s="110"/>
      <c r="J30" s="111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ht="15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ht="15.75" customHeight="1">
      <c r="A32" s="43" t="e">
        <v>#REF!</v>
      </c>
      <c r="B32" s="43" t="e">
        <v>#REF!</v>
      </c>
      <c r="C32" s="43"/>
      <c r="D32" s="43"/>
      <c r="E32" s="43"/>
      <c r="F32" s="43" t="e">
        <v>#REF!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ht="15.75" customHeight="1">
      <c r="A33" s="43" t="e">
        <v>#REF!</v>
      </c>
      <c r="B33" s="43" t="e">
        <v>#REF!</v>
      </c>
      <c r="C33" s="43"/>
      <c r="D33" s="43"/>
      <c r="E33" s="43"/>
      <c r="F33" s="43" t="e">
        <v>#REF!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ht="15.75" customHeight="1">
      <c r="A34" s="43"/>
      <c r="B34" s="43"/>
      <c r="C34" s="43"/>
      <c r="D34" s="43"/>
      <c r="E34" s="43"/>
      <c r="F34" s="43" t="e">
        <v>#REF!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ht="15.7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ht="15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ht="15.7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ht="15.75" customHeight="1">
      <c r="A38" s="43"/>
      <c r="B38" s="43"/>
      <c r="C38" s="43">
        <v>3074081.79</v>
      </c>
      <c r="D38" s="117">
        <f>55922279.47-B13</f>
        <v>1812717.6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ht="15.75" customHeight="1">
      <c r="A39" s="43"/>
      <c r="B39" s="43"/>
      <c r="C39" s="43">
        <v>1427405.75</v>
      </c>
      <c r="D39" s="117">
        <f>104649856.07-B23</f>
        <v>13339762.64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ht="15.75" customHeight="1">
      <c r="A40" s="43"/>
      <c r="B40" s="43"/>
      <c r="C40" s="43">
        <v>4.960807433E7</v>
      </c>
      <c r="D40" s="117">
        <f>D39-11527045.04</f>
        <v>1812717.6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ht="15.75" customHeight="1">
      <c r="B41" s="22"/>
      <c r="C41" s="22">
        <f>SUM(C38:C40)</f>
        <v>54109561.87</v>
      </c>
      <c r="D41" s="22"/>
      <c r="E41" s="22"/>
      <c r="F41" s="22"/>
      <c r="G41" s="20"/>
      <c r="H41" s="22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ht="15.7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ht="15.75" customHeight="1">
      <c r="A43" s="43"/>
      <c r="B43" s="43"/>
      <c r="C43" s="43"/>
      <c r="D43" s="43">
        <f>6314205.14-4501487.54</f>
        <v>1812717.6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ht="15.75" customHeight="1">
      <c r="A44" s="43"/>
      <c r="B44" s="43"/>
      <c r="C44" s="43"/>
      <c r="D44" s="43">
        <f>20291580.51+25704988.65-11527045.04</f>
        <v>34469524.12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ht="15.7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ht="15.7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ht="15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ht="15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ht="15.7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ht="15.7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ht="15.7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66" ht="15.7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ht="15.7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ht="15.7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</row>
    <row r="69" ht="15.7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ht="15.7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</row>
    <row r="71" ht="15.7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ht="15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</row>
    <row r="73" ht="15.7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ht="15.7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ht="15.7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ht="15.7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ht="15.7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ht="15.7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ht="15.7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ht="15.7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ht="15.7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ht="15.7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ht="15.7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ht="15.7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ht="15.7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ht="15.7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ht="15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ht="15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ht="15.7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</row>
    <row r="235" ht="15.7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</row>
    <row r="236" ht="15.7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</row>
    <row r="237" ht="15.7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</row>
    <row r="238" ht="15.7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</row>
    <row r="239" ht="15.7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</row>
    <row r="240" ht="15.7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</row>
    <row r="241" ht="15.7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</row>
    <row r="242" ht="15.7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</row>
    <row r="243" ht="15.7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</row>
    <row r="244" ht="15.7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</row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J1"/>
    <mergeCell ref="A2:J2"/>
    <mergeCell ref="A3:J3"/>
    <mergeCell ref="A4:J4"/>
    <mergeCell ref="A5:J5"/>
    <mergeCell ref="A6:J6"/>
    <mergeCell ref="A7:J7"/>
    <mergeCell ref="C10:F10"/>
    <mergeCell ref="C11:D11"/>
    <mergeCell ref="E11:E12"/>
    <mergeCell ref="F11:F12"/>
    <mergeCell ref="A8:J8"/>
    <mergeCell ref="A10:A12"/>
    <mergeCell ref="B10:B12"/>
    <mergeCell ref="G10:G12"/>
    <mergeCell ref="H10:H12"/>
    <mergeCell ref="I10:I12"/>
    <mergeCell ref="J10:J12"/>
    <mergeCell ref="A30:J30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3.14"/>
    <col customWidth="1" min="3" max="3" width="20.57"/>
    <col customWidth="1" min="4" max="4" width="24.14"/>
    <col customWidth="1" min="5" max="6" width="14.43"/>
    <col customWidth="1" min="7" max="7" width="39.14"/>
  </cols>
  <sheetData>
    <row r="1" ht="15.75" customHeight="1">
      <c r="A1" s="356" t="s">
        <v>271</v>
      </c>
      <c r="B1" s="357" t="str">
        <f>+'[1]Anexo I - Pessoal'!B3</f>
        <v>#REF!</v>
      </c>
      <c r="C1" s="358"/>
      <c r="D1" s="357" t="str">
        <f>+'[1]Anexo I - Pessoal'!B3</f>
        <v>#REF!</v>
      </c>
    </row>
    <row r="2" ht="15.75" customHeight="1">
      <c r="A2" s="359" t="s">
        <v>272</v>
      </c>
      <c r="B2" s="360" t="s">
        <v>79</v>
      </c>
      <c r="C2" s="360" t="s">
        <v>273</v>
      </c>
      <c r="D2" s="361" t="s">
        <v>79</v>
      </c>
      <c r="F2" s="342" t="s">
        <v>274</v>
      </c>
      <c r="G2" s="342" t="s">
        <v>275</v>
      </c>
      <c r="H2" s="342"/>
      <c r="I2" s="362">
        <v>0.0</v>
      </c>
    </row>
    <row r="3" ht="15.75" customHeight="1">
      <c r="A3" s="363" t="s">
        <v>276</v>
      </c>
      <c r="B3" s="364">
        <f>+B4</f>
        <v>91310093.43</v>
      </c>
      <c r="C3" s="365" t="s">
        <v>245</v>
      </c>
      <c r="D3" s="364">
        <f>+D4+D5+D8</f>
        <v>3240123.35</v>
      </c>
      <c r="F3" s="342" t="s">
        <v>277</v>
      </c>
      <c r="G3" s="342" t="s">
        <v>278</v>
      </c>
      <c r="H3" s="342"/>
      <c r="I3" s="362">
        <v>77.44</v>
      </c>
    </row>
    <row r="4" ht="15.75" customHeight="1">
      <c r="A4" s="366" t="s">
        <v>279</v>
      </c>
      <c r="B4" s="364">
        <f>+B5+B6+B10</f>
        <v>91310093.43</v>
      </c>
      <c r="C4" s="367" t="s">
        <v>280</v>
      </c>
      <c r="D4" s="368">
        <v>0.0</v>
      </c>
      <c r="F4" s="342" t="s">
        <v>281</v>
      </c>
      <c r="G4" s="342" t="s">
        <v>282</v>
      </c>
      <c r="H4" s="342"/>
      <c r="I4" s="362">
        <v>34987.62</v>
      </c>
    </row>
    <row r="5" ht="15.75" customHeight="1">
      <c r="A5" s="366" t="s">
        <v>283</v>
      </c>
      <c r="B5" s="368">
        <v>0.0</v>
      </c>
      <c r="C5" s="367" t="s">
        <v>284</v>
      </c>
      <c r="D5" s="364">
        <f>SUM(D6:D7)</f>
        <v>1427405.75</v>
      </c>
      <c r="F5" s="342" t="s">
        <v>285</v>
      </c>
      <c r="G5" s="342" t="s">
        <v>286</v>
      </c>
      <c r="H5" s="342"/>
      <c r="I5" s="362">
        <v>9.127499237E7</v>
      </c>
    </row>
    <row r="6" ht="15.75" customHeight="1">
      <c r="A6" s="366" t="s">
        <v>287</v>
      </c>
      <c r="B6" s="364">
        <f>SUM(B7:B9)</f>
        <v>91310093.43</v>
      </c>
      <c r="C6" s="369" t="s">
        <v>288</v>
      </c>
      <c r="D6" s="370">
        <f>I8+I14</f>
        <v>1427405.75</v>
      </c>
      <c r="F6" s="342" t="s">
        <v>289</v>
      </c>
      <c r="G6" s="342" t="s">
        <v>290</v>
      </c>
      <c r="H6" s="342"/>
      <c r="I6" s="371">
        <v>36.0</v>
      </c>
    </row>
    <row r="7" ht="15.75" customHeight="1">
      <c r="A7" s="372" t="s">
        <v>291</v>
      </c>
      <c r="B7" s="370">
        <f>I2+I3+I4+I6</f>
        <v>35101.06</v>
      </c>
      <c r="C7" s="369" t="s">
        <v>292</v>
      </c>
      <c r="D7" s="370">
        <f>I43</f>
        <v>0</v>
      </c>
      <c r="F7" s="342"/>
      <c r="G7" s="342"/>
      <c r="H7" s="342"/>
      <c r="I7" s="373">
        <f>SUM(I2:I6)</f>
        <v>91310093.43</v>
      </c>
    </row>
    <row r="8" ht="15.75" customHeight="1">
      <c r="A8" s="372" t="s">
        <v>293</v>
      </c>
      <c r="B8" s="370">
        <v>0.0</v>
      </c>
      <c r="C8" s="367" t="s">
        <v>294</v>
      </c>
      <c r="D8" s="364">
        <f>SUM(D9:D13)</f>
        <v>1812717.6</v>
      </c>
      <c r="F8" s="342" t="s">
        <v>295</v>
      </c>
      <c r="G8" s="342" t="s">
        <v>296</v>
      </c>
      <c r="H8" s="342"/>
      <c r="I8" s="373">
        <v>1251698.22</v>
      </c>
      <c r="J8" s="187">
        <f>I8+I14</f>
        <v>1427405.75</v>
      </c>
    </row>
    <row r="9" ht="15.75" customHeight="1">
      <c r="A9" s="372" t="s">
        <v>297</v>
      </c>
      <c r="B9" s="370">
        <f>I5</f>
        <v>91274992.37</v>
      </c>
      <c r="C9" s="369" t="s">
        <v>298</v>
      </c>
      <c r="D9" s="370">
        <f>I33</f>
        <v>1588430.97</v>
      </c>
    </row>
    <row r="10" ht="15.75" customHeight="1">
      <c r="A10" s="366" t="s">
        <v>299</v>
      </c>
      <c r="B10" s="364">
        <f>+B11</f>
        <v>0</v>
      </c>
      <c r="C10" s="369" t="s">
        <v>300</v>
      </c>
      <c r="D10" s="370">
        <f>I37</f>
        <v>0</v>
      </c>
      <c r="F10" s="374" t="s">
        <v>301</v>
      </c>
      <c r="G10" s="375" t="s">
        <v>302</v>
      </c>
      <c r="I10" s="362">
        <v>9187.26</v>
      </c>
    </row>
    <row r="11" ht="15.75" customHeight="1">
      <c r="A11" s="372"/>
      <c r="B11" s="370">
        <v>0.0</v>
      </c>
      <c r="C11" s="369" t="s">
        <v>303</v>
      </c>
      <c r="D11" s="370">
        <f>I41</f>
        <v>0</v>
      </c>
      <c r="F11" s="374" t="s">
        <v>304</v>
      </c>
      <c r="G11" s="375" t="s">
        <v>305</v>
      </c>
      <c r="I11" s="362">
        <v>164711.87</v>
      </c>
    </row>
    <row r="12" ht="15.75" customHeight="1">
      <c r="A12" s="372"/>
      <c r="B12" s="370"/>
      <c r="C12" s="369" t="s">
        <v>306</v>
      </c>
      <c r="D12" s="370">
        <f>I18</f>
        <v>217922.77</v>
      </c>
      <c r="F12" s="342" t="s">
        <v>307</v>
      </c>
      <c r="G12" s="342" t="s">
        <v>308</v>
      </c>
      <c r="H12" s="376"/>
      <c r="I12" s="362">
        <v>1750.0</v>
      </c>
    </row>
    <row r="13" ht="15.75" customHeight="1">
      <c r="A13" s="372"/>
      <c r="B13" s="370"/>
      <c r="C13" s="369" t="s">
        <v>309</v>
      </c>
      <c r="D13" s="370">
        <f>I20</f>
        <v>6363.86</v>
      </c>
      <c r="F13" s="374" t="s">
        <v>310</v>
      </c>
      <c r="G13" s="375" t="s">
        <v>311</v>
      </c>
      <c r="I13" s="371">
        <v>58.4</v>
      </c>
    </row>
    <row r="14" ht="15.75" customHeight="1">
      <c r="A14" s="377"/>
      <c r="B14" s="378"/>
      <c r="C14" s="379"/>
      <c r="D14" s="380"/>
      <c r="I14" s="373">
        <f>SUM(I10:I13)</f>
        <v>175707.53</v>
      </c>
    </row>
    <row r="15" ht="15.75" customHeight="1">
      <c r="A15" s="381" t="s">
        <v>312</v>
      </c>
      <c r="B15" s="378">
        <f>+B3</f>
        <v>91310093.43</v>
      </c>
      <c r="C15" s="382" t="s">
        <v>312</v>
      </c>
      <c r="D15" s="378">
        <f>+D3</f>
        <v>3240123.35</v>
      </c>
      <c r="F15" s="103" t="s">
        <v>313</v>
      </c>
    </row>
    <row r="16" ht="15.75" customHeight="1">
      <c r="A16" s="383" t="s">
        <v>314</v>
      </c>
      <c r="B16" s="378">
        <f>IF(D3&gt;B3,+D3-B3,0)</f>
        <v>0</v>
      </c>
      <c r="C16" s="384" t="s">
        <v>315</v>
      </c>
      <c r="D16" s="378">
        <f>IF(D3&lt;B3,+B3-D3,0)</f>
        <v>88069970.08</v>
      </c>
      <c r="F16" s="342" t="s">
        <v>316</v>
      </c>
      <c r="G16" s="342" t="s">
        <v>317</v>
      </c>
      <c r="I16" s="362">
        <v>8494.91</v>
      </c>
    </row>
    <row r="17" ht="15.75" customHeight="1">
      <c r="A17" s="381" t="s">
        <v>220</v>
      </c>
      <c r="B17" s="378">
        <f>+B3+B16</f>
        <v>91310093.43</v>
      </c>
      <c r="C17" s="382" t="s">
        <v>220</v>
      </c>
      <c r="D17" s="378">
        <f>+D3+D16</f>
        <v>91310093.43</v>
      </c>
      <c r="F17" s="342" t="s">
        <v>318</v>
      </c>
      <c r="G17" s="342" t="s">
        <v>319</v>
      </c>
      <c r="I17" s="371">
        <v>209427.86</v>
      </c>
    </row>
    <row r="18" ht="15.75" customHeight="1">
      <c r="A18" s="385" t="s">
        <v>320</v>
      </c>
      <c r="B18" s="386"/>
      <c r="C18" s="382"/>
      <c r="D18" s="387">
        <v>0.0</v>
      </c>
      <c r="I18" s="388">
        <f>SUM(I16:I17)</f>
        <v>217922.77</v>
      </c>
    </row>
    <row r="19" ht="15.75" customHeight="1">
      <c r="A19" s="385" t="s">
        <v>321</v>
      </c>
      <c r="B19" s="386"/>
      <c r="C19" s="382"/>
      <c r="D19" s="378">
        <f>IF(D16-D18&lt;&gt;0,D16-D18,"")</f>
        <v>88069970.08</v>
      </c>
      <c r="F19" s="103" t="s">
        <v>322</v>
      </c>
    </row>
    <row r="20" ht="15.75" customHeight="1">
      <c r="A20" s="389"/>
      <c r="B20" s="386"/>
      <c r="C20" s="389"/>
      <c r="D20" s="386"/>
      <c r="F20" s="342" t="s">
        <v>323</v>
      </c>
      <c r="G20" s="342" t="s">
        <v>324</v>
      </c>
      <c r="I20" s="373">
        <v>6363.86</v>
      </c>
    </row>
    <row r="21" ht="15.75" customHeight="1">
      <c r="A21" s="390" t="s">
        <v>325</v>
      </c>
      <c r="B21" s="110"/>
      <c r="C21" s="110"/>
      <c r="D21" s="111"/>
    </row>
    <row r="22" ht="15.75" customHeight="1">
      <c r="A22" s="359" t="s">
        <v>272</v>
      </c>
      <c r="B22" s="360" t="s">
        <v>79</v>
      </c>
      <c r="C22" s="360" t="s">
        <v>273</v>
      </c>
      <c r="D22" s="361" t="s">
        <v>79</v>
      </c>
      <c r="F22" s="103" t="s">
        <v>326</v>
      </c>
    </row>
    <row r="23" ht="15.75" customHeight="1">
      <c r="A23" s="363" t="s">
        <v>276</v>
      </c>
      <c r="B23" s="370">
        <f>+B24</f>
        <v>0</v>
      </c>
      <c r="C23" s="365" t="s">
        <v>245</v>
      </c>
      <c r="D23" s="370">
        <f>+D24+D25+D28</f>
        <v>0</v>
      </c>
      <c r="F23" s="342" t="s">
        <v>327</v>
      </c>
      <c r="G23" s="342" t="s">
        <v>328</v>
      </c>
      <c r="I23" s="362">
        <v>806436.37</v>
      </c>
    </row>
    <row r="24" ht="15.75" customHeight="1">
      <c r="A24" s="366" t="s">
        <v>279</v>
      </c>
      <c r="B24" s="370">
        <f>+B25+B26+B30</f>
        <v>0</v>
      </c>
      <c r="C24" s="367" t="s">
        <v>280</v>
      </c>
      <c r="D24" s="368">
        <v>0.0</v>
      </c>
      <c r="F24" s="342" t="s">
        <v>329</v>
      </c>
      <c r="G24" s="342" t="s">
        <v>330</v>
      </c>
      <c r="I24" s="362">
        <v>0.0</v>
      </c>
    </row>
    <row r="25" ht="15.75" customHeight="1">
      <c r="A25" s="366" t="s">
        <v>283</v>
      </c>
      <c r="B25" s="368">
        <v>0.0</v>
      </c>
      <c r="C25" s="367" t="s">
        <v>284</v>
      </c>
      <c r="D25" s="370">
        <f>SUM(D26:D27)</f>
        <v>0</v>
      </c>
      <c r="F25" s="342" t="s">
        <v>331</v>
      </c>
      <c r="G25" s="342" t="s">
        <v>332</v>
      </c>
      <c r="I25" s="362">
        <v>0.0</v>
      </c>
    </row>
    <row r="26" ht="15.75" customHeight="1">
      <c r="A26" s="366" t="s">
        <v>287</v>
      </c>
      <c r="B26" s="370">
        <f>SUM(B27:B29)</f>
        <v>0</v>
      </c>
      <c r="C26" s="369" t="s">
        <v>288</v>
      </c>
      <c r="D26" s="368">
        <v>0.0</v>
      </c>
      <c r="F26" s="342" t="s">
        <v>333</v>
      </c>
      <c r="G26" s="342" t="s">
        <v>334</v>
      </c>
      <c r="I26" s="362">
        <v>298307.4</v>
      </c>
    </row>
    <row r="27" ht="15.75" customHeight="1">
      <c r="A27" s="372" t="s">
        <v>291</v>
      </c>
      <c r="B27" s="368">
        <v>0.0</v>
      </c>
      <c r="C27" s="369" t="s">
        <v>292</v>
      </c>
      <c r="D27" s="368">
        <v>0.0</v>
      </c>
      <c r="F27" s="342" t="s">
        <v>335</v>
      </c>
      <c r="G27" s="342" t="s">
        <v>336</v>
      </c>
      <c r="I27" s="362">
        <v>36612.81</v>
      </c>
    </row>
    <row r="28" ht="15.75" customHeight="1">
      <c r="A28" s="372" t="s">
        <v>293</v>
      </c>
      <c r="B28" s="368">
        <v>0.0</v>
      </c>
      <c r="C28" s="367" t="s">
        <v>294</v>
      </c>
      <c r="D28" s="370">
        <f>+D29</f>
        <v>0</v>
      </c>
      <c r="F28" s="342" t="s">
        <v>337</v>
      </c>
      <c r="G28" s="342" t="s">
        <v>338</v>
      </c>
      <c r="I28" s="362">
        <v>869.48</v>
      </c>
    </row>
    <row r="29" ht="15.75" customHeight="1">
      <c r="A29" s="372" t="s">
        <v>297</v>
      </c>
      <c r="B29" s="368">
        <v>0.0</v>
      </c>
      <c r="C29" s="369" t="s">
        <v>298</v>
      </c>
      <c r="D29" s="368">
        <v>0.0</v>
      </c>
      <c r="F29" s="342" t="s">
        <v>339</v>
      </c>
      <c r="G29" s="342" t="s">
        <v>340</v>
      </c>
      <c r="I29" s="362">
        <v>252611.37</v>
      </c>
    </row>
    <row r="30" ht="15.75" customHeight="1">
      <c r="A30" s="366" t="s">
        <v>299</v>
      </c>
      <c r="B30" s="370">
        <f>+B31</f>
        <v>0</v>
      </c>
      <c r="C30" s="391"/>
      <c r="D30" s="392"/>
      <c r="F30" s="342" t="s">
        <v>341</v>
      </c>
      <c r="G30" s="342" t="s">
        <v>342</v>
      </c>
      <c r="I30" s="362">
        <v>0.0</v>
      </c>
    </row>
    <row r="31" ht="15.75" customHeight="1">
      <c r="A31" s="393"/>
      <c r="B31" s="370">
        <v>0.0</v>
      </c>
      <c r="C31" s="391"/>
      <c r="D31" s="392"/>
      <c r="F31" s="342" t="s">
        <v>343</v>
      </c>
      <c r="G31" s="342" t="s">
        <v>344</v>
      </c>
      <c r="I31" s="362">
        <v>51537.64</v>
      </c>
    </row>
    <row r="32" ht="15.75" customHeight="1">
      <c r="A32" s="377"/>
      <c r="B32" s="378"/>
      <c r="C32" s="379"/>
      <c r="D32" s="380"/>
      <c r="F32" s="342" t="s">
        <v>345</v>
      </c>
      <c r="G32" s="342" t="s">
        <v>346</v>
      </c>
      <c r="I32" s="371">
        <v>142055.9</v>
      </c>
    </row>
    <row r="33" ht="15.75" customHeight="1">
      <c r="A33" s="381" t="s">
        <v>312</v>
      </c>
      <c r="B33" s="378">
        <f>+B23</f>
        <v>0</v>
      </c>
      <c r="C33" s="382" t="s">
        <v>312</v>
      </c>
      <c r="D33" s="378">
        <f>+D23</f>
        <v>0</v>
      </c>
      <c r="F33" s="342"/>
      <c r="G33" s="342"/>
      <c r="I33" s="388">
        <f>SUM(I23:I32)</f>
        <v>1588430.97</v>
      </c>
    </row>
    <row r="34" ht="15.75" customHeight="1">
      <c r="A34" s="383" t="s">
        <v>347</v>
      </c>
      <c r="B34" s="378">
        <f>IF(D23&gt;B23,+D23-B23,0)</f>
        <v>0</v>
      </c>
      <c r="C34" s="384" t="s">
        <v>348</v>
      </c>
      <c r="D34" s="378">
        <f>IF(D23&lt;B23,+B23-D23,0)</f>
        <v>0</v>
      </c>
      <c r="F34" s="103" t="s">
        <v>349</v>
      </c>
    </row>
    <row r="35" ht="15.75" customHeight="1">
      <c r="A35" s="381" t="s">
        <v>220</v>
      </c>
      <c r="B35" s="378">
        <f>+B23+B34</f>
        <v>0</v>
      </c>
      <c r="C35" s="382" t="s">
        <v>220</v>
      </c>
      <c r="D35" s="378">
        <f>+D23+D34</f>
        <v>0</v>
      </c>
      <c r="F35" s="342" t="s">
        <v>350</v>
      </c>
      <c r="G35" s="342" t="s">
        <v>351</v>
      </c>
      <c r="I35" s="362">
        <v>0.0</v>
      </c>
    </row>
    <row r="36" ht="15.75" customHeight="1">
      <c r="A36" s="385" t="s">
        <v>352</v>
      </c>
      <c r="B36" s="386"/>
      <c r="C36" s="382"/>
      <c r="D36" s="387">
        <v>0.0</v>
      </c>
      <c r="F36" s="342" t="s">
        <v>353</v>
      </c>
      <c r="G36" s="342" t="s">
        <v>354</v>
      </c>
      <c r="I36" s="371">
        <v>0.0</v>
      </c>
    </row>
    <row r="37" ht="15.75" customHeight="1">
      <c r="A37" s="385" t="s">
        <v>355</v>
      </c>
      <c r="B37" s="386"/>
      <c r="C37" s="382"/>
      <c r="D37" s="380" t="str">
        <f>IF(D34-D36&lt;&gt;0,D34-D36,"")</f>
        <v/>
      </c>
      <c r="I37" s="394">
        <f>SUM(I35:I36)</f>
        <v>0</v>
      </c>
    </row>
    <row r="38" ht="15.75" customHeight="1">
      <c r="A38" s="385"/>
      <c r="B38" s="386"/>
      <c r="C38" s="395"/>
      <c r="D38" s="380"/>
    </row>
    <row r="39" ht="15.75" customHeight="1">
      <c r="A39" s="381" t="s">
        <v>356</v>
      </c>
      <c r="B39" s="380" t="str">
        <f>IF(SUM(B16,D18,B35,D37)&gt;SUM(D16,D35),SUM(B16,D18,B35,D37)-SUM(D16,D35),"")</f>
        <v/>
      </c>
      <c r="C39" s="382" t="s">
        <v>357</v>
      </c>
      <c r="D39" s="378">
        <f>IF(SUM(D16,D35)&gt;SUM(B16,D18,B35,D37),SUM(D16,D35)-SUM(B16,D18,B35,D37),"")</f>
        <v>88069970.08</v>
      </c>
      <c r="F39" s="342" t="s">
        <v>358</v>
      </c>
      <c r="G39" s="342" t="s">
        <v>359</v>
      </c>
      <c r="I39" s="362">
        <v>0.0</v>
      </c>
    </row>
    <row r="40" ht="15.75" customHeight="1">
      <c r="F40" s="342" t="s">
        <v>360</v>
      </c>
      <c r="G40" s="342" t="s">
        <v>359</v>
      </c>
      <c r="I40" s="371">
        <v>0.0</v>
      </c>
    </row>
    <row r="41" ht="15.75" customHeight="1">
      <c r="I41" s="394">
        <f>SUM(I39:I40)</f>
        <v>0</v>
      </c>
    </row>
    <row r="42" ht="15.75" customHeight="1"/>
    <row r="43" ht="15.75" customHeight="1">
      <c r="F43" s="342" t="s">
        <v>361</v>
      </c>
      <c r="G43" s="369" t="s">
        <v>292</v>
      </c>
      <c r="I43" s="362">
        <v>0.0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1:D2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48.71"/>
    <col customWidth="1" min="2" max="2" width="27.0"/>
    <col customWidth="1" min="3" max="3" width="30.29"/>
    <col customWidth="1" min="4" max="4" width="13.57"/>
    <col customWidth="1" min="5" max="5" width="17.71"/>
    <col customWidth="1" min="6" max="6" width="15.43"/>
    <col customWidth="1" min="7" max="7" width="24.71"/>
    <col customWidth="1" min="8" max="8" width="16.14"/>
    <col customWidth="1" min="9" max="9" width="18.43"/>
    <col customWidth="1" min="10" max="10" width="20.29"/>
    <col customWidth="1" min="11" max="11" width="11.14"/>
    <col customWidth="1" min="12" max="12" width="10.57"/>
    <col customWidth="1" min="13" max="13" width="11.29"/>
    <col customWidth="1" min="14" max="14" width="11.57"/>
    <col customWidth="1" min="15" max="15" width="11.86"/>
  </cols>
  <sheetData>
    <row r="1" ht="15.75" customHeight="1">
      <c r="A1" s="40" t="s">
        <v>96</v>
      </c>
      <c r="B1" s="41"/>
      <c r="C1" s="42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43"/>
      <c r="Q1" s="43"/>
      <c r="R1" s="43"/>
      <c r="S1" s="43"/>
      <c r="T1" s="43"/>
    </row>
    <row r="2" ht="15.75" customHeight="1">
      <c r="A2" s="40" t="s">
        <v>97</v>
      </c>
      <c r="B2" s="41"/>
      <c r="C2" s="42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43"/>
      <c r="Q2" s="43"/>
      <c r="R2" s="43"/>
      <c r="S2" s="43"/>
      <c r="T2" s="43"/>
    </row>
    <row r="3" ht="15.75" customHeight="1">
      <c r="A3" s="40" t="s">
        <v>98</v>
      </c>
      <c r="B3" s="41"/>
      <c r="C3" s="42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43"/>
      <c r="Q3" s="43"/>
      <c r="R3" s="43"/>
      <c r="S3" s="43"/>
      <c r="T3" s="43"/>
    </row>
    <row r="4" ht="15.75" customHeight="1">
      <c r="A4" s="40" t="s">
        <v>99</v>
      </c>
      <c r="B4" s="41"/>
      <c r="C4" s="42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43"/>
      <c r="Q4" s="43"/>
      <c r="R4" s="43"/>
      <c r="S4" s="43"/>
      <c r="T4" s="43"/>
    </row>
    <row r="5" ht="15.75" customHeight="1">
      <c r="A5" s="44" t="s">
        <v>362</v>
      </c>
      <c r="B5" s="41"/>
      <c r="C5" s="42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43"/>
      <c r="Q5" s="43"/>
      <c r="R5" s="43"/>
      <c r="S5" s="43"/>
      <c r="T5" s="43"/>
    </row>
    <row r="6" ht="15.75" customHeight="1">
      <c r="A6" s="40" t="s">
        <v>101</v>
      </c>
      <c r="B6" s="41"/>
      <c r="C6" s="42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43"/>
      <c r="Q6" s="43"/>
      <c r="R6" s="43"/>
      <c r="S6" s="43"/>
      <c r="T6" s="43"/>
    </row>
    <row r="7" ht="15.75" customHeight="1">
      <c r="A7" s="40" t="s">
        <v>239</v>
      </c>
      <c r="B7" s="41"/>
      <c r="C7" s="42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43"/>
      <c r="Q7" s="43"/>
      <c r="R7" s="43"/>
      <c r="S7" s="43"/>
      <c r="T7" s="43"/>
    </row>
    <row r="8" ht="15.75" customHeight="1">
      <c r="A8" s="40" t="s">
        <v>240</v>
      </c>
      <c r="B8" s="41"/>
      <c r="C8" s="42"/>
      <c r="D8" s="396"/>
      <c r="E8" s="396"/>
      <c r="F8" s="396"/>
      <c r="G8" s="396"/>
      <c r="H8" s="396"/>
      <c r="I8" s="396"/>
      <c r="J8" s="397"/>
      <c r="K8" s="342"/>
      <c r="L8" s="342"/>
      <c r="M8" s="43"/>
      <c r="N8" s="43"/>
      <c r="O8" s="43"/>
      <c r="P8" s="43"/>
      <c r="Q8" s="43"/>
      <c r="R8" s="43"/>
      <c r="S8" s="43"/>
      <c r="T8" s="43"/>
    </row>
    <row r="9" ht="15.75" customHeight="1">
      <c r="A9" s="46" t="s">
        <v>363</v>
      </c>
      <c r="C9" s="344" t="s">
        <v>242</v>
      </c>
      <c r="D9" s="343"/>
      <c r="E9" s="343"/>
      <c r="F9" s="343"/>
      <c r="G9" s="343"/>
      <c r="H9" s="343"/>
      <c r="I9" s="343"/>
      <c r="J9" s="344" t="s">
        <v>242</v>
      </c>
      <c r="K9" s="342"/>
      <c r="L9" s="342"/>
      <c r="M9" s="43"/>
      <c r="N9" s="43"/>
      <c r="O9" s="43"/>
      <c r="P9" s="43"/>
      <c r="Q9" s="43"/>
      <c r="R9" s="43"/>
      <c r="S9" s="43"/>
      <c r="T9" s="43"/>
    </row>
    <row r="10" ht="15.75" customHeight="1">
      <c r="A10" s="398" t="s">
        <v>364</v>
      </c>
      <c r="B10" s="399" t="s">
        <v>365</v>
      </c>
      <c r="C10" s="63"/>
      <c r="D10" s="400"/>
      <c r="E10" s="400"/>
      <c r="F10" s="396"/>
      <c r="G10" s="400"/>
      <c r="H10" s="396"/>
      <c r="I10" s="400"/>
      <c r="J10" s="400"/>
      <c r="K10" s="342"/>
      <c r="L10" s="342"/>
      <c r="N10" s="43"/>
      <c r="O10" s="43"/>
      <c r="P10" s="43"/>
      <c r="Q10" s="43"/>
      <c r="R10" s="43"/>
      <c r="S10" s="43"/>
      <c r="T10" s="43"/>
    </row>
    <row r="11" ht="15.75" customHeight="1">
      <c r="A11" s="348" t="s">
        <v>364</v>
      </c>
      <c r="B11" s="401"/>
      <c r="C11" s="63"/>
      <c r="D11" s="402"/>
      <c r="E11" s="402"/>
      <c r="F11" s="402"/>
      <c r="G11" s="402"/>
      <c r="H11" s="402"/>
      <c r="I11" s="402"/>
      <c r="J11" s="402"/>
      <c r="K11" s="342"/>
      <c r="L11" s="342"/>
      <c r="M11" s="43"/>
      <c r="N11" s="43"/>
      <c r="O11" s="43"/>
      <c r="P11" s="43"/>
      <c r="Q11" s="43"/>
      <c r="R11" s="43"/>
      <c r="S11" s="43"/>
      <c r="T11" s="43"/>
    </row>
    <row r="12" ht="15.75" customHeight="1">
      <c r="A12" s="350" t="s">
        <v>366</v>
      </c>
      <c r="B12" s="403" t="str">
        <f>'[2]Conciliação DCF X EFISCO'!C77</f>
        <v>#REF!</v>
      </c>
      <c r="C12" s="128"/>
      <c r="D12" s="404"/>
      <c r="E12" s="404"/>
      <c r="F12" s="404"/>
      <c r="G12" s="404"/>
      <c r="H12" s="404"/>
      <c r="I12" s="404"/>
      <c r="J12" s="404"/>
      <c r="K12" s="342"/>
      <c r="L12" s="342"/>
      <c r="M12" s="43"/>
      <c r="N12" s="43"/>
      <c r="O12" s="43"/>
      <c r="P12" s="43"/>
      <c r="Q12" s="43"/>
      <c r="R12" s="43"/>
      <c r="S12" s="43"/>
      <c r="T12" s="43"/>
    </row>
    <row r="13" ht="15.75" customHeight="1">
      <c r="A13" s="405" t="s">
        <v>367</v>
      </c>
      <c r="B13" s="406" t="str">
        <f>'[2]Conciliação DCF X EFISCO'!C79</f>
        <v>#REF!</v>
      </c>
      <c r="C13" s="60"/>
      <c r="D13" s="404"/>
      <c r="E13" s="404"/>
      <c r="F13" s="404"/>
      <c r="G13" s="404"/>
      <c r="H13" s="404"/>
      <c r="I13" s="404"/>
      <c r="J13" s="404"/>
      <c r="K13" s="342"/>
      <c r="L13" s="342"/>
      <c r="M13" s="43"/>
      <c r="N13" s="43"/>
      <c r="O13" s="43"/>
      <c r="P13" s="43"/>
      <c r="Q13" s="43"/>
      <c r="R13" s="43"/>
      <c r="S13" s="43"/>
      <c r="T13" s="43"/>
    </row>
    <row r="14" ht="15.75" customHeight="1">
      <c r="A14" s="310"/>
      <c r="B14" s="407"/>
      <c r="C14" s="407"/>
      <c r="D14" s="407"/>
      <c r="E14" s="407"/>
      <c r="F14" s="407"/>
      <c r="G14" s="407"/>
      <c r="H14" s="407"/>
      <c r="I14" s="407"/>
      <c r="J14" s="407"/>
      <c r="K14" s="342"/>
      <c r="L14" s="342"/>
      <c r="M14" s="43"/>
      <c r="N14" s="43"/>
      <c r="O14" s="43"/>
      <c r="P14" s="43"/>
      <c r="Q14" s="43"/>
      <c r="R14" s="43"/>
      <c r="S14" s="43"/>
      <c r="T14" s="43"/>
    </row>
    <row r="15" ht="15.75" customHeight="1">
      <c r="A15" s="53" t="s">
        <v>55</v>
      </c>
      <c r="B15" s="137" t="s">
        <v>368</v>
      </c>
      <c r="C15" s="63"/>
      <c r="D15" s="407"/>
      <c r="E15" s="407"/>
      <c r="F15" s="407"/>
      <c r="G15" s="407"/>
      <c r="H15" s="407"/>
      <c r="I15" s="407"/>
      <c r="J15" s="407"/>
      <c r="K15" s="342"/>
      <c r="L15" s="342"/>
      <c r="M15" s="43"/>
      <c r="N15" s="43"/>
      <c r="O15" s="43"/>
      <c r="P15" s="43"/>
      <c r="Q15" s="43"/>
      <c r="R15" s="43"/>
      <c r="S15" s="43"/>
      <c r="T15" s="43"/>
    </row>
    <row r="16" ht="15.75" customHeight="1">
      <c r="A16" s="65"/>
      <c r="B16" s="347" t="s">
        <v>79</v>
      </c>
      <c r="C16" s="91" t="s">
        <v>369</v>
      </c>
      <c r="D16" s="404"/>
      <c r="E16" s="404"/>
      <c r="F16" s="404"/>
      <c r="G16" s="404"/>
      <c r="H16" s="404"/>
      <c r="I16" s="404"/>
      <c r="J16" s="404"/>
      <c r="K16" s="342"/>
      <c r="L16" s="342"/>
      <c r="M16" s="43"/>
      <c r="N16" s="43"/>
      <c r="O16" s="43"/>
      <c r="P16" s="43"/>
      <c r="Q16" s="43"/>
      <c r="R16" s="43"/>
      <c r="S16" s="43"/>
      <c r="T16" s="43"/>
    </row>
    <row r="17" ht="15.75" customHeight="1">
      <c r="A17" s="350" t="s">
        <v>185</v>
      </c>
      <c r="B17" s="404" t="e">
        <v>#REF!</v>
      </c>
      <c r="C17" s="408" t="e">
        <v>#REF!</v>
      </c>
      <c r="D17" s="404"/>
      <c r="E17" s="404"/>
      <c r="F17" s="404"/>
      <c r="G17" s="404"/>
      <c r="H17" s="404"/>
      <c r="I17" s="404"/>
      <c r="J17" s="404"/>
      <c r="K17" s="342"/>
      <c r="L17" s="342"/>
      <c r="M17" s="43"/>
      <c r="N17" s="43"/>
      <c r="O17" s="43"/>
      <c r="P17" s="43"/>
      <c r="Q17" s="43"/>
      <c r="R17" s="43"/>
      <c r="S17" s="43"/>
      <c r="T17" s="43"/>
    </row>
    <row r="18" ht="15.75" customHeight="1">
      <c r="A18" s="350" t="s">
        <v>370</v>
      </c>
      <c r="B18" s="404" t="e">
        <v>#REF!</v>
      </c>
      <c r="C18" s="408" t="e">
        <v>#REF!</v>
      </c>
      <c r="D18" s="404"/>
      <c r="E18" s="404"/>
      <c r="F18" s="404"/>
      <c r="G18" s="404"/>
      <c r="H18" s="404"/>
      <c r="I18" s="404"/>
      <c r="J18" s="404"/>
      <c r="K18" s="342"/>
      <c r="L18" s="342"/>
      <c r="M18" s="43"/>
      <c r="N18" s="43"/>
      <c r="O18" s="43"/>
      <c r="P18" s="43"/>
      <c r="Q18" s="43"/>
      <c r="R18" s="43"/>
      <c r="S18" s="43"/>
      <c r="T18" s="43"/>
    </row>
    <row r="19" ht="15.75" customHeight="1">
      <c r="A19" s="350" t="s">
        <v>371</v>
      </c>
      <c r="B19" s="404" t="e">
        <v>#REF!</v>
      </c>
      <c r="C19" s="408" t="e">
        <v>#REF!</v>
      </c>
      <c r="D19" s="404"/>
      <c r="E19" s="404"/>
      <c r="F19" s="404"/>
      <c r="G19" s="404"/>
      <c r="H19" s="404"/>
      <c r="I19" s="404"/>
      <c r="J19" s="404"/>
      <c r="K19" s="342"/>
      <c r="L19" s="342"/>
      <c r="M19" s="43"/>
      <c r="N19" s="43"/>
      <c r="O19" s="43"/>
      <c r="P19" s="43"/>
      <c r="Q19" s="43"/>
      <c r="R19" s="43"/>
      <c r="S19" s="43"/>
      <c r="T19" s="43"/>
    </row>
    <row r="20" ht="16.5" customHeight="1">
      <c r="A20" s="405" t="s">
        <v>372</v>
      </c>
      <c r="B20" s="409" t="e">
        <v>#REF!</v>
      </c>
      <c r="C20" s="410" t="e">
        <v>#REF!</v>
      </c>
      <c r="D20" s="404"/>
      <c r="E20" s="404"/>
      <c r="F20" s="404"/>
      <c r="G20" s="404"/>
      <c r="H20" s="404"/>
      <c r="I20" s="404"/>
      <c r="J20" s="404"/>
      <c r="K20" s="342"/>
      <c r="L20" s="342"/>
      <c r="M20" s="43"/>
      <c r="N20" s="43"/>
      <c r="O20" s="43"/>
      <c r="P20" s="43"/>
      <c r="Q20" s="43"/>
      <c r="R20" s="43"/>
      <c r="S20" s="43"/>
      <c r="T20" s="43"/>
    </row>
    <row r="21" ht="15.75" customHeight="1">
      <c r="A21" s="411"/>
      <c r="B21" s="404"/>
      <c r="C21" s="404"/>
      <c r="D21" s="404"/>
      <c r="E21" s="404"/>
      <c r="F21" s="404"/>
      <c r="G21" s="404"/>
      <c r="H21" s="404"/>
      <c r="I21" s="404"/>
      <c r="J21" s="404"/>
      <c r="K21" s="342"/>
      <c r="L21" s="342"/>
      <c r="M21" s="43"/>
      <c r="N21" s="43"/>
      <c r="O21" s="43"/>
      <c r="P21" s="43"/>
      <c r="Q21" s="43"/>
      <c r="R21" s="43"/>
      <c r="S21" s="43"/>
      <c r="T21" s="43"/>
    </row>
    <row r="22" ht="38.25" customHeight="1">
      <c r="A22" s="412" t="s">
        <v>373</v>
      </c>
      <c r="B22" s="413" t="s">
        <v>374</v>
      </c>
      <c r="C22" s="414" t="s">
        <v>375</v>
      </c>
      <c r="D22" s="415"/>
      <c r="E22" s="415"/>
      <c r="F22" s="415"/>
      <c r="G22" s="415"/>
      <c r="H22" s="415"/>
      <c r="I22" s="415"/>
      <c r="J22" s="415"/>
      <c r="K22" s="103"/>
      <c r="L22" s="103"/>
      <c r="M22" s="76"/>
      <c r="N22" s="76"/>
      <c r="O22" s="76"/>
      <c r="P22" s="76"/>
      <c r="Q22" s="76"/>
      <c r="R22" s="76"/>
      <c r="S22" s="76"/>
      <c r="T22" s="76"/>
    </row>
    <row r="23" ht="16.5" customHeight="1">
      <c r="A23" s="416" t="s">
        <v>376</v>
      </c>
      <c r="B23" s="417">
        <f>'Anexo V RGF'!H23</f>
        <v>0</v>
      </c>
      <c r="C23" s="417">
        <f>'Anexo V RGF'!J23</f>
        <v>88069970.08</v>
      </c>
      <c r="D23" s="397"/>
      <c r="E23" s="397"/>
      <c r="F23" s="397"/>
      <c r="G23" s="397"/>
      <c r="H23" s="397"/>
      <c r="I23" s="397"/>
      <c r="J23" s="397"/>
      <c r="K23" s="342"/>
      <c r="L23" s="342"/>
      <c r="M23" s="43"/>
      <c r="N23" s="43"/>
      <c r="O23" s="43"/>
      <c r="P23" s="43"/>
      <c r="Q23" s="43"/>
      <c r="R23" s="43"/>
      <c r="S23" s="43"/>
      <c r="T23" s="43"/>
    </row>
    <row r="24" ht="15.75" customHeight="1">
      <c r="A24" s="102" t="s">
        <v>266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42"/>
      <c r="L24" s="342"/>
      <c r="M24" s="43"/>
      <c r="N24" s="43"/>
      <c r="O24" s="43"/>
      <c r="P24" s="43"/>
      <c r="Q24" s="43"/>
      <c r="R24" s="43"/>
      <c r="S24" s="43"/>
      <c r="T24" s="43"/>
    </row>
    <row r="25" ht="10.5" customHeight="1">
      <c r="A25" s="102" t="s">
        <v>109</v>
      </c>
      <c r="K25" s="342"/>
      <c r="L25" s="342"/>
      <c r="M25" s="43"/>
      <c r="N25" s="43"/>
      <c r="O25" s="43"/>
      <c r="P25" s="43"/>
      <c r="Q25" s="43"/>
      <c r="R25" s="43"/>
      <c r="S25" s="43"/>
      <c r="T25" s="43"/>
    </row>
    <row r="26" ht="7.5" customHeight="1">
      <c r="A26" s="102" t="s">
        <v>267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43"/>
      <c r="N26" s="43"/>
      <c r="O26" s="43"/>
      <c r="P26" s="43"/>
      <c r="Q26" s="43"/>
      <c r="R26" s="43"/>
      <c r="S26" s="43"/>
      <c r="T26" s="43"/>
    </row>
    <row r="27" ht="8.25" customHeight="1">
      <c r="A27" s="102" t="s">
        <v>268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ht="15.7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</row>
    <row r="29" ht="15.75" customHeight="1">
      <c r="A29" s="43" t="s">
        <v>117</v>
      </c>
      <c r="B29" s="43" t="s">
        <v>119</v>
      </c>
      <c r="D29" s="43"/>
      <c r="E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ht="15.75" customHeight="1">
      <c r="A30" s="43" t="s">
        <v>120</v>
      </c>
      <c r="B30" s="43" t="s">
        <v>122</v>
      </c>
      <c r="D30" s="43"/>
      <c r="E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</row>
    <row r="31" ht="15.75" customHeight="1">
      <c r="A31" s="43"/>
      <c r="B31" s="43" t="s">
        <v>123</v>
      </c>
      <c r="D31" s="43"/>
      <c r="E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</row>
    <row r="32" ht="15.75" customHeight="1">
      <c r="A32" s="43" t="s">
        <v>118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ht="15.75" customHeight="1">
      <c r="A33" s="43" t="s">
        <v>121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</row>
    <row r="34" ht="15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ht="15.7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ht="15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ht="15.7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ht="15.7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ht="15.7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ht="15.7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ht="15.7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ht="15.7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ht="15.7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ht="15.7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ht="15.7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ht="15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ht="15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ht="15.7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</row>
    <row r="64" ht="15.7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</row>
    <row r="65" ht="15.7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</row>
    <row r="66" ht="15.7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</row>
    <row r="67" ht="15.7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</row>
    <row r="68" ht="15.7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</row>
    <row r="69" ht="15.7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</row>
    <row r="70" ht="15.7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</row>
    <row r="71" ht="15.7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ht="15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</row>
    <row r="73" ht="15.7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</row>
    <row r="74" ht="15.7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</row>
    <row r="75" ht="15.7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</row>
    <row r="76" ht="15.7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</row>
    <row r="77" ht="15.7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</row>
    <row r="78" ht="15.7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</row>
    <row r="79" ht="15.7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</row>
    <row r="81" ht="15.7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</row>
    <row r="82" ht="15.7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</row>
    <row r="83" ht="15.7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</row>
    <row r="84" ht="15.7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</row>
    <row r="85" ht="15.7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</row>
    <row r="86" ht="15.7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</row>
    <row r="87" ht="15.7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</row>
    <row r="91" ht="15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</row>
    <row r="92" ht="15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</row>
    <row r="225" ht="15.7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</row>
    <row r="226" ht="15.7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</row>
    <row r="227" ht="15.7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</row>
    <row r="228" ht="15.7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</row>
    <row r="229" ht="15.7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</row>
    <row r="230" ht="15.7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</row>
    <row r="231" ht="15.7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</row>
    <row r="232" ht="15.7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</row>
    <row r="233" ht="15.7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C8"/>
    <mergeCell ref="B10:C10"/>
    <mergeCell ref="B11:C11"/>
    <mergeCell ref="B12:C12"/>
    <mergeCell ref="B13:C13"/>
    <mergeCell ref="A15:A16"/>
    <mergeCell ref="B15:C15"/>
    <mergeCell ref="A1:C1"/>
    <mergeCell ref="A2:C2"/>
    <mergeCell ref="A3:C3"/>
    <mergeCell ref="A4:C4"/>
    <mergeCell ref="A5:C5"/>
    <mergeCell ref="A6:C6"/>
    <mergeCell ref="A7:C7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2020-10-08T00:44:31Z</dcterms:created>
  <dc:creator>Carlos Alberto Santos</dc:creator>
</cp:coreProperties>
</file>